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6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7.xml" ContentType="application/vnd.openxmlformats-officedocument.drawing+xml"/>
  <Override PartName="/xl/charts/chart6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6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6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6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6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6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6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6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7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81.xml" ContentType="application/vnd.openxmlformats-officedocument.drawingml.chart+xml"/>
  <Override PartName="/xl/drawings/drawing10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6_Analysis_of_sentence_mode\"/>
    </mc:Choice>
  </mc:AlternateContent>
  <xr:revisionPtr revIDLastSave="0" documentId="13_ncr:1_{E14AA0D3-06FD-4148-8AA8-926B682EF013}" xr6:coauthVersionLast="47" xr6:coauthVersionMax="47" xr10:uidLastSave="{00000000-0000-0000-0000-000000000000}"/>
  <bookViews>
    <workbookView xWindow="-135" yWindow="-16335" windowWidth="29070" windowHeight="16470" tabRatio="1000" activeTab="15" xr2:uid="{5F934F14-35FB-48F8-B9CC-AA2F647F3C27}"/>
  </bookViews>
  <sheets>
    <sheet name="mode B0" sheetId="16" r:id="rId1"/>
    <sheet name="mode B1" sheetId="15" r:id="rId2"/>
    <sheet name="G mode" sheetId="17" r:id="rId3"/>
    <sheet name="mode RTH B0" sheetId="14" r:id="rId4"/>
    <sheet name="mode RTH B1" sheetId="2" r:id="rId5"/>
    <sheet name="G mode RTH" sheetId="7" r:id="rId6"/>
    <sheet name="PA B0" sheetId="13" r:id="rId7"/>
    <sheet name="PA B1" sheetId="10" r:id="rId8"/>
    <sheet name="G PA" sheetId="12" r:id="rId9"/>
    <sheet name="comparisons" sheetId="20" r:id="rId10"/>
    <sheet name="Utt Mode B0" sheetId="18" r:id="rId11"/>
    <sheet name="Utt full B0" sheetId="21" r:id="rId12"/>
    <sheet name="Utt B1" sheetId="19" r:id="rId13"/>
    <sheet name="Utt full B1" sheetId="22" r:id="rId14"/>
    <sheet name="Utt mean betas" sheetId="24" r:id="rId15"/>
    <sheet name="G Utt" sheetId="23" r:id="rId16"/>
    <sheet name="legends" sheetId="1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</externalReferences>
  <definedNames>
    <definedName name="_xlnm.Print_Area" localSheetId="1">'mode B1'!$A$2:$BA$6</definedName>
    <definedName name="_xlnm.Print_Area" localSheetId="3">'mode RTH B0'!#REF!</definedName>
    <definedName name="_xlnm.Print_Area" localSheetId="4">'mode RTH B1'!$A$2:$BC$6</definedName>
    <definedName name="_xlnm.Print_Area" localSheetId="6">'PA B0'!$A$2:$AM$4</definedName>
    <definedName name="_xlnm.Print_Area" localSheetId="7">'PA B1'!$A$2:$BD$6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22" l="1"/>
  <c r="H20" i="22"/>
  <c r="G20" i="22"/>
  <c r="F20" i="22"/>
  <c r="E20" i="22"/>
  <c r="D20" i="22"/>
  <c r="C20" i="22"/>
  <c r="K20" i="22" s="1"/>
  <c r="I19" i="22"/>
  <c r="J19" i="22" s="1"/>
  <c r="H19" i="22"/>
  <c r="G19" i="22"/>
  <c r="F19" i="22"/>
  <c r="E19" i="22"/>
  <c r="D19" i="22"/>
  <c r="C19" i="22"/>
  <c r="K19" i="22" s="1"/>
  <c r="I18" i="22"/>
  <c r="J18" i="22" s="1"/>
  <c r="H18" i="22"/>
  <c r="G18" i="22"/>
  <c r="F18" i="22"/>
  <c r="E18" i="22"/>
  <c r="D18" i="22"/>
  <c r="C18" i="22"/>
  <c r="I17" i="22"/>
  <c r="H17" i="22"/>
  <c r="G17" i="22"/>
  <c r="F17" i="22"/>
  <c r="E17" i="22"/>
  <c r="D17" i="22"/>
  <c r="C17" i="22"/>
  <c r="K17" i="22" s="1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K15" i="22" s="1"/>
  <c r="I14" i="22"/>
  <c r="H14" i="22"/>
  <c r="G14" i="22"/>
  <c r="F14" i="22"/>
  <c r="E14" i="22"/>
  <c r="D14" i="22"/>
  <c r="K14" i="22" s="1"/>
  <c r="C14" i="22"/>
  <c r="I9" i="22"/>
  <c r="H9" i="22"/>
  <c r="G9" i="22"/>
  <c r="F9" i="22"/>
  <c r="E9" i="22"/>
  <c r="D9" i="22"/>
  <c r="C9" i="22"/>
  <c r="I8" i="22"/>
  <c r="J8" i="22" s="1"/>
  <c r="H8" i="22"/>
  <c r="G8" i="22"/>
  <c r="F8" i="22"/>
  <c r="E8" i="22"/>
  <c r="D8" i="22"/>
  <c r="C8" i="22"/>
  <c r="K8" i="22" s="1"/>
  <c r="I7" i="22"/>
  <c r="J7" i="22" s="1"/>
  <c r="H7" i="22"/>
  <c r="G7" i="22"/>
  <c r="F7" i="22"/>
  <c r="E7" i="22"/>
  <c r="D7" i="22"/>
  <c r="C7" i="22"/>
  <c r="K7" i="22" s="1"/>
  <c r="I6" i="22"/>
  <c r="H6" i="22"/>
  <c r="G6" i="22"/>
  <c r="F6" i="22"/>
  <c r="E6" i="22"/>
  <c r="D6" i="22"/>
  <c r="C6" i="22"/>
  <c r="K6" i="22" s="1"/>
  <c r="I5" i="22"/>
  <c r="J5" i="22" s="1"/>
  <c r="H5" i="22"/>
  <c r="G5" i="22"/>
  <c r="F5" i="22"/>
  <c r="E5" i="22"/>
  <c r="D5" i="22"/>
  <c r="C5" i="22"/>
  <c r="I4" i="22"/>
  <c r="H4" i="22"/>
  <c r="G4" i="22"/>
  <c r="F4" i="22"/>
  <c r="E4" i="22"/>
  <c r="D4" i="22"/>
  <c r="C4" i="22"/>
  <c r="B10" i="22" s="1"/>
  <c r="H10" i="22" s="1"/>
  <c r="I3" i="22"/>
  <c r="J3" i="22" s="1"/>
  <c r="H3" i="22"/>
  <c r="G3" i="22"/>
  <c r="F3" i="22"/>
  <c r="E3" i="22"/>
  <c r="D3" i="22"/>
  <c r="K3" i="22" s="1"/>
  <c r="C3" i="22"/>
  <c r="J9" i="22"/>
  <c r="A13" i="22"/>
  <c r="B13" i="22"/>
  <c r="D13" i="22"/>
  <c r="E13" i="22"/>
  <c r="F13" i="22"/>
  <c r="G13" i="22"/>
  <c r="H13" i="22"/>
  <c r="I13" i="22"/>
  <c r="J14" i="22"/>
  <c r="J15" i="22"/>
  <c r="J16" i="22"/>
  <c r="J17" i="22"/>
  <c r="J20" i="22"/>
  <c r="K18" i="22"/>
  <c r="K16" i="22"/>
  <c r="K9" i="22"/>
  <c r="J6" i="22"/>
  <c r="K5" i="22"/>
  <c r="K4" i="22"/>
  <c r="J4" i="22"/>
  <c r="J20" i="19"/>
  <c r="I20" i="19"/>
  <c r="H20" i="19"/>
  <c r="G20" i="19"/>
  <c r="F20" i="19"/>
  <c r="E20" i="19"/>
  <c r="D20" i="19"/>
  <c r="C20" i="19"/>
  <c r="K20" i="19" s="1"/>
  <c r="I19" i="19"/>
  <c r="H19" i="19"/>
  <c r="G19" i="19"/>
  <c r="F19" i="19"/>
  <c r="E19" i="19"/>
  <c r="D19" i="19"/>
  <c r="C19" i="19"/>
  <c r="I18" i="19"/>
  <c r="H18" i="19"/>
  <c r="G18" i="19"/>
  <c r="F18" i="19"/>
  <c r="E18" i="19"/>
  <c r="D18" i="19"/>
  <c r="C18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B10" i="19"/>
  <c r="I9" i="19"/>
  <c r="J9" i="19" s="1"/>
  <c r="H9" i="19"/>
  <c r="G9" i="19"/>
  <c r="F9" i="19"/>
  <c r="E9" i="19"/>
  <c r="D9" i="19"/>
  <c r="C9" i="19"/>
  <c r="K9" i="19" s="1"/>
  <c r="B11" i="19"/>
  <c r="I8" i="19"/>
  <c r="H8" i="19"/>
  <c r="G8" i="19"/>
  <c r="F8" i="19"/>
  <c r="E8" i="19"/>
  <c r="D8" i="19"/>
  <c r="C8" i="19"/>
  <c r="I7" i="19"/>
  <c r="J7" i="19" s="1"/>
  <c r="H7" i="19"/>
  <c r="G7" i="19"/>
  <c r="F7" i="19"/>
  <c r="E7" i="19"/>
  <c r="D7" i="19"/>
  <c r="C7" i="19"/>
  <c r="I6" i="19"/>
  <c r="J6" i="19" s="1"/>
  <c r="H6" i="19"/>
  <c r="G6" i="19"/>
  <c r="F6" i="19"/>
  <c r="E6" i="19"/>
  <c r="D6" i="19"/>
  <c r="C6" i="19"/>
  <c r="I5" i="19"/>
  <c r="J5" i="19" s="1"/>
  <c r="H5" i="19"/>
  <c r="G5" i="19"/>
  <c r="F5" i="19"/>
  <c r="E5" i="19"/>
  <c r="D5" i="19"/>
  <c r="C5" i="19"/>
  <c r="I4" i="19"/>
  <c r="J4" i="19" s="1"/>
  <c r="H4" i="19"/>
  <c r="G4" i="19"/>
  <c r="F4" i="19"/>
  <c r="E4" i="19"/>
  <c r="D4" i="19"/>
  <c r="C4" i="19"/>
  <c r="I3" i="19"/>
  <c r="H3" i="19"/>
  <c r="G3" i="19"/>
  <c r="F3" i="19"/>
  <c r="E3" i="19"/>
  <c r="D3" i="19"/>
  <c r="C3" i="19"/>
  <c r="J8" i="19"/>
  <c r="J3" i="19"/>
  <c r="I3" i="21"/>
  <c r="H14" i="21"/>
  <c r="G14" i="21"/>
  <c r="F14" i="21"/>
  <c r="E14" i="21"/>
  <c r="D14" i="21"/>
  <c r="C14" i="21"/>
  <c r="B14" i="21"/>
  <c r="H13" i="21"/>
  <c r="G13" i="21"/>
  <c r="F13" i="21"/>
  <c r="E13" i="21"/>
  <c r="D13" i="21"/>
  <c r="C13" i="21"/>
  <c r="B13" i="21"/>
  <c r="H12" i="21"/>
  <c r="I12" i="21" s="1"/>
  <c r="G12" i="21"/>
  <c r="F12" i="21"/>
  <c r="E12" i="21"/>
  <c r="D12" i="21"/>
  <c r="C12" i="21"/>
  <c r="B12" i="21"/>
  <c r="H11" i="21"/>
  <c r="G11" i="21"/>
  <c r="F11" i="21"/>
  <c r="E11" i="21"/>
  <c r="D11" i="21"/>
  <c r="C11" i="21"/>
  <c r="B11" i="21"/>
  <c r="H6" i="21"/>
  <c r="G6" i="21"/>
  <c r="F6" i="21"/>
  <c r="E6" i="21"/>
  <c r="D6" i="21"/>
  <c r="C6" i="21"/>
  <c r="B6" i="21"/>
  <c r="H5" i="21"/>
  <c r="G5" i="21"/>
  <c r="F5" i="21"/>
  <c r="E5" i="21"/>
  <c r="D5" i="21"/>
  <c r="C5" i="21"/>
  <c r="B5" i="21"/>
  <c r="H4" i="21"/>
  <c r="I4" i="21" s="1"/>
  <c r="G4" i="21"/>
  <c r="F4" i="21"/>
  <c r="E4" i="21"/>
  <c r="D4" i="21"/>
  <c r="C4" i="21"/>
  <c r="B4" i="21"/>
  <c r="H3" i="21"/>
  <c r="G3" i="21"/>
  <c r="F3" i="21"/>
  <c r="E3" i="21"/>
  <c r="D3" i="21"/>
  <c r="C3" i="21"/>
  <c r="I6" i="21"/>
  <c r="I5" i="21"/>
  <c r="I14" i="21"/>
  <c r="I13" i="21"/>
  <c r="I11" i="21"/>
  <c r="B3" i="21"/>
  <c r="B3" i="18"/>
  <c r="I14" i="18"/>
  <c r="I13" i="18"/>
  <c r="I12" i="18"/>
  <c r="I11" i="18"/>
  <c r="I6" i="18"/>
  <c r="I5" i="18"/>
  <c r="I4" i="18"/>
  <c r="I3" i="18"/>
  <c r="B11" i="22" l="1"/>
  <c r="H11" i="22" s="1"/>
  <c r="E10" i="22"/>
  <c r="J10" i="22" s="1"/>
  <c r="H6" i="18"/>
  <c r="G6" i="18"/>
  <c r="F6" i="18"/>
  <c r="E6" i="18"/>
  <c r="D6" i="18"/>
  <c r="C6" i="18"/>
  <c r="B6" i="18"/>
  <c r="H5" i="18"/>
  <c r="G5" i="18"/>
  <c r="F5" i="18"/>
  <c r="E5" i="18"/>
  <c r="D5" i="18"/>
  <c r="C5" i="18"/>
  <c r="B5" i="18"/>
  <c r="H4" i="18"/>
  <c r="G4" i="18"/>
  <c r="F4" i="18"/>
  <c r="E4" i="18"/>
  <c r="D4" i="18"/>
  <c r="C4" i="18"/>
  <c r="B4" i="18"/>
  <c r="H3" i="18"/>
  <c r="G3" i="18"/>
  <c r="F3" i="18"/>
  <c r="E3" i="18"/>
  <c r="D3" i="18"/>
  <c r="C3" i="18"/>
  <c r="B24" i="18"/>
  <c r="Q4" i="20"/>
  <c r="T4" i="20" s="1"/>
  <c r="Q3" i="20"/>
  <c r="N4" i="20"/>
  <c r="N3" i="20"/>
  <c r="F45" i="23"/>
  <c r="E45" i="23"/>
  <c r="D45" i="23"/>
  <c r="C45" i="23"/>
  <c r="B45" i="23"/>
  <c r="A45" i="23"/>
  <c r="E23" i="18"/>
  <c r="D23" i="18"/>
  <c r="C23" i="18"/>
  <c r="B23" i="18"/>
  <c r="E23" i="21"/>
  <c r="D23" i="21"/>
  <c r="C23" i="21"/>
  <c r="B23" i="21"/>
  <c r="E24" i="18"/>
  <c r="B25" i="21"/>
  <c r="B24" i="21"/>
  <c r="D20" i="21"/>
  <c r="D19" i="21"/>
  <c r="B20" i="21"/>
  <c r="B19" i="21"/>
  <c r="D24" i="21"/>
  <c r="E25" i="18"/>
  <c r="B25" i="18"/>
  <c r="C25" i="18"/>
  <c r="C24" i="18"/>
  <c r="M3" i="20"/>
  <c r="M4" i="20"/>
  <c r="P3" i="20"/>
  <c r="S3" i="20" s="1"/>
  <c r="P4" i="20"/>
  <c r="S4" i="20" s="1"/>
  <c r="I3" i="2"/>
  <c r="I4" i="2"/>
  <c r="I5" i="2"/>
  <c r="I6" i="2"/>
  <c r="E20" i="21"/>
  <c r="M11" i="21"/>
  <c r="L11" i="21"/>
  <c r="B16" i="21"/>
  <c r="I10" i="21"/>
  <c r="H10" i="21"/>
  <c r="G10" i="21"/>
  <c r="F10" i="21"/>
  <c r="E10" i="21"/>
  <c r="D10" i="21"/>
  <c r="C10" i="21"/>
  <c r="B10" i="21"/>
  <c r="F9" i="24"/>
  <c r="E25" i="21"/>
  <c r="D25" i="21"/>
  <c r="C25" i="21"/>
  <c r="M3" i="21"/>
  <c r="L3" i="21"/>
  <c r="I2" i="21"/>
  <c r="H2" i="21"/>
  <c r="G2" i="21"/>
  <c r="F2" i="21"/>
  <c r="E2" i="21"/>
  <c r="D2" i="21"/>
  <c r="C2" i="21"/>
  <c r="B2" i="21"/>
  <c r="A38" i="16"/>
  <c r="A39" i="16"/>
  <c r="A40" i="16"/>
  <c r="A41" i="16"/>
  <c r="L3" i="18"/>
  <c r="M3" i="18"/>
  <c r="L11" i="18"/>
  <c r="M11" i="18"/>
  <c r="H11" i="13"/>
  <c r="I11" i="13"/>
  <c r="H16" i="2"/>
  <c r="H11" i="14"/>
  <c r="J7" i="10"/>
  <c r="J12" i="10" s="1"/>
  <c r="J17" i="10" s="1"/>
  <c r="J22" i="10" s="1"/>
  <c r="J27" i="10" s="1"/>
  <c r="I7" i="10"/>
  <c r="I12" i="10" s="1"/>
  <c r="I17" i="10" s="1"/>
  <c r="I22" i="10" s="1"/>
  <c r="I27" i="10" s="1"/>
  <c r="H7" i="10"/>
  <c r="H12" i="10" s="1"/>
  <c r="H17" i="10" s="1"/>
  <c r="H22" i="10" s="1"/>
  <c r="H27" i="10" s="1"/>
  <c r="G7" i="10"/>
  <c r="G12" i="10" s="1"/>
  <c r="G17" i="10" s="1"/>
  <c r="G22" i="10" s="1"/>
  <c r="G27" i="10" s="1"/>
  <c r="F7" i="10"/>
  <c r="F12" i="10" s="1"/>
  <c r="F17" i="10" s="1"/>
  <c r="F22" i="10" s="1"/>
  <c r="F27" i="10" s="1"/>
  <c r="D7" i="10"/>
  <c r="D12" i="10" s="1"/>
  <c r="D17" i="10" s="1"/>
  <c r="D22" i="10" s="1"/>
  <c r="D27" i="10" s="1"/>
  <c r="C7" i="10"/>
  <c r="C12" i="10" s="1"/>
  <c r="C17" i="10" s="1"/>
  <c r="C22" i="10" s="1"/>
  <c r="C27" i="10" s="1"/>
  <c r="B7" i="10"/>
  <c r="B12" i="10" s="1"/>
  <c r="B17" i="10" s="1"/>
  <c r="B22" i="10" s="1"/>
  <c r="B27" i="10" s="1"/>
  <c r="E2" i="10"/>
  <c r="E7" i="10" s="1"/>
  <c r="E12" i="10" s="1"/>
  <c r="E17" i="10" s="1"/>
  <c r="E22" i="10" s="1"/>
  <c r="E27" i="10" s="1"/>
  <c r="E2" i="13"/>
  <c r="E2" i="14"/>
  <c r="J21" i="10"/>
  <c r="I21" i="10"/>
  <c r="H21" i="10"/>
  <c r="G21" i="10"/>
  <c r="F21" i="10"/>
  <c r="E21" i="10"/>
  <c r="D21" i="10"/>
  <c r="C21" i="10"/>
  <c r="B21" i="10"/>
  <c r="B20" i="10"/>
  <c r="J20" i="10"/>
  <c r="I20" i="10"/>
  <c r="H20" i="10"/>
  <c r="G20" i="10"/>
  <c r="F20" i="10"/>
  <c r="E20" i="10"/>
  <c r="D20" i="10"/>
  <c r="C20" i="10"/>
  <c r="B23" i="10"/>
  <c r="C23" i="10"/>
  <c r="D23" i="10"/>
  <c r="E23" i="10"/>
  <c r="F23" i="10"/>
  <c r="G23" i="10"/>
  <c r="H23" i="10"/>
  <c r="I23" i="10"/>
  <c r="J23" i="10"/>
  <c r="B24" i="10"/>
  <c r="C24" i="10"/>
  <c r="D24" i="10"/>
  <c r="E24" i="10"/>
  <c r="F24" i="10"/>
  <c r="G24" i="10"/>
  <c r="H24" i="10"/>
  <c r="I24" i="10"/>
  <c r="J24" i="10"/>
  <c r="B25" i="10"/>
  <c r="C25" i="10"/>
  <c r="D25" i="10"/>
  <c r="E25" i="10"/>
  <c r="F25" i="10"/>
  <c r="G25" i="10"/>
  <c r="H25" i="10"/>
  <c r="I25" i="10"/>
  <c r="J25" i="10"/>
  <c r="B26" i="10"/>
  <c r="C26" i="10"/>
  <c r="D26" i="10"/>
  <c r="E26" i="10"/>
  <c r="F26" i="10"/>
  <c r="G26" i="10"/>
  <c r="H26" i="10"/>
  <c r="I26" i="10"/>
  <c r="J26" i="10"/>
  <c r="B28" i="10"/>
  <c r="C28" i="10"/>
  <c r="D28" i="10"/>
  <c r="E28" i="10"/>
  <c r="F28" i="10"/>
  <c r="G28" i="10"/>
  <c r="H28" i="10"/>
  <c r="I28" i="10"/>
  <c r="J28" i="10"/>
  <c r="B18" i="10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C17" i="15"/>
  <c r="D17" i="15"/>
  <c r="E17" i="15"/>
  <c r="F17" i="15"/>
  <c r="G17" i="15"/>
  <c r="H17" i="15"/>
  <c r="I17" i="15"/>
  <c r="J17" i="15"/>
  <c r="C18" i="15"/>
  <c r="D18" i="15"/>
  <c r="E18" i="15"/>
  <c r="F18" i="15"/>
  <c r="G18" i="15"/>
  <c r="H18" i="15"/>
  <c r="I18" i="15"/>
  <c r="J18" i="15"/>
  <c r="C19" i="15"/>
  <c r="D19" i="15"/>
  <c r="E19" i="15"/>
  <c r="F19" i="15"/>
  <c r="G19" i="15"/>
  <c r="H19" i="15"/>
  <c r="I19" i="15"/>
  <c r="J19" i="15"/>
  <c r="C20" i="15"/>
  <c r="D20" i="15"/>
  <c r="E20" i="15"/>
  <c r="F20" i="15"/>
  <c r="G20" i="15"/>
  <c r="H20" i="15"/>
  <c r="I20" i="15"/>
  <c r="J20" i="15"/>
  <c r="C21" i="15"/>
  <c r="D21" i="15"/>
  <c r="E21" i="15"/>
  <c r="F21" i="15"/>
  <c r="G21" i="15"/>
  <c r="H21" i="15"/>
  <c r="I21" i="15"/>
  <c r="J21" i="15"/>
  <c r="C22" i="15"/>
  <c r="D22" i="15"/>
  <c r="E22" i="15"/>
  <c r="F22" i="15"/>
  <c r="G22" i="15"/>
  <c r="H22" i="15"/>
  <c r="I22" i="15"/>
  <c r="J22" i="15"/>
  <c r="C23" i="15"/>
  <c r="D23" i="15"/>
  <c r="E23" i="15"/>
  <c r="F23" i="15"/>
  <c r="G23" i="15"/>
  <c r="H23" i="15"/>
  <c r="I23" i="15"/>
  <c r="J23" i="15"/>
  <c r="C24" i="15"/>
  <c r="D24" i="15"/>
  <c r="E24" i="15"/>
  <c r="F24" i="15"/>
  <c r="G24" i="15"/>
  <c r="H24" i="15"/>
  <c r="I24" i="15"/>
  <c r="J24" i="15"/>
  <c r="C25" i="15"/>
  <c r="D25" i="15"/>
  <c r="E25" i="15"/>
  <c r="F25" i="15"/>
  <c r="G25" i="15"/>
  <c r="H25" i="15"/>
  <c r="I25" i="15"/>
  <c r="J25" i="15"/>
  <c r="C26" i="15"/>
  <c r="D26" i="15"/>
  <c r="E26" i="15"/>
  <c r="F26" i="15"/>
  <c r="G26" i="15"/>
  <c r="H26" i="15"/>
  <c r="I26" i="15"/>
  <c r="J26" i="15"/>
  <c r="C27" i="15"/>
  <c r="D27" i="15"/>
  <c r="E27" i="15"/>
  <c r="F27" i="15"/>
  <c r="G27" i="15"/>
  <c r="H27" i="15"/>
  <c r="I27" i="15"/>
  <c r="C28" i="15"/>
  <c r="D28" i="15"/>
  <c r="E28" i="15"/>
  <c r="F28" i="15"/>
  <c r="G28" i="15"/>
  <c r="H28" i="15"/>
  <c r="I28" i="15"/>
  <c r="J28" i="15"/>
  <c r="C29" i="15"/>
  <c r="D29" i="15"/>
  <c r="E29" i="15"/>
  <c r="F29" i="15"/>
  <c r="G29" i="15"/>
  <c r="H29" i="15"/>
  <c r="I29" i="15"/>
  <c r="J29" i="15"/>
  <c r="C30" i="15"/>
  <c r="D30" i="15"/>
  <c r="E30" i="15"/>
  <c r="F30" i="15"/>
  <c r="G30" i="15"/>
  <c r="H30" i="15"/>
  <c r="I30" i="15"/>
  <c r="J30" i="15"/>
  <c r="A7" i="16"/>
  <c r="C7" i="16"/>
  <c r="D7" i="16"/>
  <c r="E7" i="16"/>
  <c r="F7" i="16"/>
  <c r="G7" i="16"/>
  <c r="H7" i="16"/>
  <c r="I7" i="16"/>
  <c r="J7" i="16"/>
  <c r="A12" i="16"/>
  <c r="C12" i="16"/>
  <c r="D12" i="16"/>
  <c r="E12" i="16"/>
  <c r="F12" i="16"/>
  <c r="G12" i="16"/>
  <c r="H12" i="16"/>
  <c r="I12" i="16"/>
  <c r="J12" i="16"/>
  <c r="C19" i="21" l="1"/>
  <c r="C20" i="21"/>
  <c r="E19" i="21"/>
  <c r="C24" i="21"/>
  <c r="E24" i="21"/>
  <c r="D24" i="18"/>
  <c r="D25" i="18"/>
  <c r="C20" i="18"/>
  <c r="T3" i="20"/>
  <c r="B8" i="21"/>
  <c r="J5" i="21"/>
  <c r="D15" i="21"/>
  <c r="B15" i="21"/>
  <c r="F5" i="24" s="1"/>
  <c r="O5" i="24" s="1"/>
  <c r="J13" i="21"/>
  <c r="B7" i="21"/>
  <c r="F4" i="24" s="1"/>
  <c r="O4" i="24" s="1"/>
  <c r="D7" i="21"/>
  <c r="K20" i="10"/>
  <c r="E21" i="22"/>
  <c r="B22" i="22"/>
  <c r="E10" i="24" s="1"/>
  <c r="E9" i="24"/>
  <c r="J12" i="21"/>
  <c r="J14" i="21"/>
  <c r="J4" i="21"/>
  <c r="J6" i="21"/>
  <c r="K26" i="10"/>
  <c r="B21" i="22"/>
  <c r="J11" i="21"/>
  <c r="J3" i="21"/>
  <c r="K21" i="10"/>
  <c r="K25" i="10"/>
  <c r="K24" i="10"/>
  <c r="K28" i="10"/>
  <c r="K23" i="10"/>
  <c r="K19" i="15"/>
  <c r="K24" i="15"/>
  <c r="K18" i="15"/>
  <c r="K20" i="15"/>
  <c r="K21" i="15"/>
  <c r="K30" i="15"/>
  <c r="K28" i="15"/>
  <c r="K23" i="15"/>
  <c r="K29" i="15"/>
  <c r="K25" i="15"/>
  <c r="K26" i="15"/>
  <c r="N6" i="16"/>
  <c r="M6" i="16"/>
  <c r="N5" i="16"/>
  <c r="M5" i="16"/>
  <c r="N4" i="16"/>
  <c r="M4" i="16"/>
  <c r="N3" i="16"/>
  <c r="M3" i="16"/>
  <c r="L3" i="22"/>
  <c r="L4" i="22"/>
  <c r="L5" i="22"/>
  <c r="L6" i="22"/>
  <c r="L7" i="22"/>
  <c r="L8" i="22"/>
  <c r="A13" i="19"/>
  <c r="B13" i="19"/>
  <c r="D13" i="19"/>
  <c r="E13" i="19"/>
  <c r="F13" i="19"/>
  <c r="G13" i="19"/>
  <c r="H13" i="19"/>
  <c r="I13" i="19"/>
  <c r="J13" i="19"/>
  <c r="L14" i="22"/>
  <c r="J14" i="19"/>
  <c r="L15" i="22"/>
  <c r="J15" i="19"/>
  <c r="L16" i="22"/>
  <c r="J16" i="19"/>
  <c r="L17" i="22"/>
  <c r="J17" i="19"/>
  <c r="L18" i="22"/>
  <c r="J18" i="19"/>
  <c r="L19" i="22"/>
  <c r="J19" i="19"/>
  <c r="B2" i="18"/>
  <c r="C2" i="18"/>
  <c r="D2" i="18"/>
  <c r="E2" i="18"/>
  <c r="F2" i="18"/>
  <c r="G2" i="18"/>
  <c r="H2" i="18"/>
  <c r="I2" i="18"/>
  <c r="J3" i="18"/>
  <c r="B10" i="18"/>
  <c r="C10" i="18"/>
  <c r="D10" i="18"/>
  <c r="E10" i="18"/>
  <c r="F10" i="18"/>
  <c r="G10" i="18"/>
  <c r="H10" i="18"/>
  <c r="I10" i="18"/>
  <c r="B11" i="18"/>
  <c r="C11" i="18"/>
  <c r="D11" i="18"/>
  <c r="E11" i="18"/>
  <c r="F11" i="18"/>
  <c r="G11" i="18"/>
  <c r="H11" i="18"/>
  <c r="B12" i="18"/>
  <c r="C19" i="18" s="1"/>
  <c r="C12" i="18"/>
  <c r="D12" i="18"/>
  <c r="E12" i="18"/>
  <c r="F12" i="18"/>
  <c r="G12" i="18"/>
  <c r="H12" i="18"/>
  <c r="B13" i="18"/>
  <c r="D19" i="18" s="1"/>
  <c r="C13" i="18"/>
  <c r="D13" i="18"/>
  <c r="E13" i="18"/>
  <c r="F13" i="18"/>
  <c r="G13" i="18"/>
  <c r="H13" i="18"/>
  <c r="B14" i="18"/>
  <c r="E19" i="18" s="1"/>
  <c r="C14" i="18"/>
  <c r="D14" i="18"/>
  <c r="J14" i="18" s="1"/>
  <c r="E14" i="18"/>
  <c r="F14" i="18"/>
  <c r="G14" i="18"/>
  <c r="H14" i="18"/>
  <c r="B25" i="14"/>
  <c r="C25" i="14"/>
  <c r="D25" i="14"/>
  <c r="E25" i="14"/>
  <c r="B47" i="14"/>
  <c r="C47" i="14"/>
  <c r="D47" i="14"/>
  <c r="E47" i="14"/>
  <c r="B26" i="14"/>
  <c r="C26" i="14"/>
  <c r="D26" i="14"/>
  <c r="E26" i="14"/>
  <c r="B48" i="14"/>
  <c r="C48" i="14"/>
  <c r="D48" i="14"/>
  <c r="E48" i="14"/>
  <c r="B27" i="14"/>
  <c r="C27" i="14"/>
  <c r="D27" i="14"/>
  <c r="E27" i="14"/>
  <c r="B49" i="14"/>
  <c r="C49" i="14"/>
  <c r="D49" i="14"/>
  <c r="E49" i="14"/>
  <c r="B28" i="14"/>
  <c r="C28" i="14"/>
  <c r="D28" i="14"/>
  <c r="E28" i="14"/>
  <c r="B50" i="14"/>
  <c r="C50" i="14"/>
  <c r="D50" i="14"/>
  <c r="E50" i="14"/>
  <c r="B29" i="14"/>
  <c r="C29" i="14"/>
  <c r="D29" i="14"/>
  <c r="E29" i="14"/>
  <c r="B51" i="14"/>
  <c r="C51" i="14"/>
  <c r="D51" i="14"/>
  <c r="E51" i="14"/>
  <c r="B30" i="14"/>
  <c r="C30" i="14"/>
  <c r="D30" i="14"/>
  <c r="E30" i="14"/>
  <c r="B52" i="14"/>
  <c r="C52" i="14"/>
  <c r="D52" i="14"/>
  <c r="E52" i="14"/>
  <c r="B31" i="14"/>
  <c r="C31" i="14"/>
  <c r="D31" i="14"/>
  <c r="E31" i="14"/>
  <c r="B53" i="14"/>
  <c r="C53" i="14"/>
  <c r="D53" i="14"/>
  <c r="E53" i="14"/>
  <c r="B32" i="14"/>
  <c r="C32" i="14"/>
  <c r="D32" i="14"/>
  <c r="E32" i="14"/>
  <c r="B54" i="14"/>
  <c r="C54" i="14"/>
  <c r="D54" i="14"/>
  <c r="E54" i="14"/>
  <c r="A36" i="14"/>
  <c r="A47" i="14" s="1"/>
  <c r="B36" i="14"/>
  <c r="C36" i="14"/>
  <c r="D36" i="14"/>
  <c r="E36" i="14"/>
  <c r="A58" i="14"/>
  <c r="B58" i="14"/>
  <c r="C58" i="14"/>
  <c r="D58" i="14"/>
  <c r="E58" i="14"/>
  <c r="A37" i="14"/>
  <c r="A48" i="14" s="1"/>
  <c r="B37" i="14"/>
  <c r="C37" i="14"/>
  <c r="D37" i="14"/>
  <c r="E37" i="14"/>
  <c r="A59" i="14"/>
  <c r="B59" i="14"/>
  <c r="F59" i="14" s="1"/>
  <c r="C59" i="14"/>
  <c r="D59" i="14"/>
  <c r="E59" i="14"/>
  <c r="A38" i="14"/>
  <c r="A49" i="14" s="1"/>
  <c r="B38" i="14"/>
  <c r="C38" i="14"/>
  <c r="D38" i="14"/>
  <c r="E38" i="14"/>
  <c r="A60" i="14"/>
  <c r="B60" i="14"/>
  <c r="C60" i="14"/>
  <c r="D60" i="14"/>
  <c r="E60" i="14"/>
  <c r="A39" i="14"/>
  <c r="A50" i="14" s="1"/>
  <c r="B39" i="14"/>
  <c r="C39" i="14"/>
  <c r="D39" i="14"/>
  <c r="E39" i="14"/>
  <c r="A61" i="14"/>
  <c r="B61" i="14"/>
  <c r="F61" i="14" s="1"/>
  <c r="C61" i="14"/>
  <c r="D61" i="14"/>
  <c r="E61" i="14"/>
  <c r="A40" i="14"/>
  <c r="A51" i="14" s="1"/>
  <c r="B40" i="14"/>
  <c r="C40" i="14"/>
  <c r="D40" i="14"/>
  <c r="E40" i="14"/>
  <c r="A62" i="14"/>
  <c r="B62" i="14"/>
  <c r="F62" i="14" s="1"/>
  <c r="C62" i="14"/>
  <c r="D62" i="14"/>
  <c r="E62" i="14"/>
  <c r="A41" i="14"/>
  <c r="A52" i="14" s="1"/>
  <c r="B41" i="14"/>
  <c r="C41" i="14"/>
  <c r="D41" i="14"/>
  <c r="E41" i="14"/>
  <c r="A63" i="14"/>
  <c r="B63" i="14"/>
  <c r="F63" i="14" s="1"/>
  <c r="C63" i="14"/>
  <c r="D63" i="14"/>
  <c r="E63" i="14"/>
  <c r="A42" i="14"/>
  <c r="A53" i="14" s="1"/>
  <c r="B42" i="14"/>
  <c r="C42" i="14"/>
  <c r="D42" i="14"/>
  <c r="E42" i="14"/>
  <c r="A64" i="14"/>
  <c r="B64" i="14"/>
  <c r="F64" i="14" s="1"/>
  <c r="C64" i="14"/>
  <c r="D64" i="14"/>
  <c r="E64" i="14"/>
  <c r="A43" i="14"/>
  <c r="A54" i="14" s="1"/>
  <c r="B43" i="14"/>
  <c r="C43" i="14"/>
  <c r="D43" i="14"/>
  <c r="E43" i="14"/>
  <c r="A65" i="14"/>
  <c r="B65" i="14"/>
  <c r="C65" i="14"/>
  <c r="D65" i="14"/>
  <c r="E65" i="14"/>
  <c r="B25" i="16"/>
  <c r="B5" i="16" s="1"/>
  <c r="C25" i="16"/>
  <c r="C5" i="16" s="1"/>
  <c r="D25" i="16"/>
  <c r="E25" i="16"/>
  <c r="E5" i="16" s="1"/>
  <c r="F25" i="16"/>
  <c r="F5" i="16" s="1"/>
  <c r="G25" i="16"/>
  <c r="G5" i="16" s="1"/>
  <c r="H25" i="16"/>
  <c r="H5" i="16" s="1"/>
  <c r="I25" i="16"/>
  <c r="I5" i="16" s="1"/>
  <c r="J25" i="16"/>
  <c r="J5" i="16" s="1"/>
  <c r="B38" i="16"/>
  <c r="C38" i="16"/>
  <c r="C3" i="16" s="1"/>
  <c r="D38" i="16"/>
  <c r="D3" i="16" s="1"/>
  <c r="E38" i="16"/>
  <c r="E3" i="16" s="1"/>
  <c r="F38" i="16"/>
  <c r="F3" i="16" s="1"/>
  <c r="G38" i="16"/>
  <c r="G3" i="16" s="1"/>
  <c r="H38" i="16"/>
  <c r="H3" i="16" s="1"/>
  <c r="I38" i="16"/>
  <c r="I3" i="16" s="1"/>
  <c r="J38" i="16"/>
  <c r="J3" i="16" s="1"/>
  <c r="B26" i="16"/>
  <c r="B10" i="16" s="1"/>
  <c r="C26" i="16"/>
  <c r="C10" i="16" s="1"/>
  <c r="D26" i="16"/>
  <c r="D10" i="16" s="1"/>
  <c r="E26" i="16"/>
  <c r="E10" i="16" s="1"/>
  <c r="F26" i="16"/>
  <c r="F10" i="16" s="1"/>
  <c r="G26" i="16"/>
  <c r="G10" i="16" s="1"/>
  <c r="H26" i="16"/>
  <c r="H10" i="16" s="1"/>
  <c r="I26" i="16"/>
  <c r="I10" i="16" s="1"/>
  <c r="J26" i="16"/>
  <c r="J10" i="16" s="1"/>
  <c r="B39" i="16"/>
  <c r="B8" i="16" s="1"/>
  <c r="C39" i="16"/>
  <c r="C8" i="16" s="1"/>
  <c r="D39" i="16"/>
  <c r="D8" i="16" s="1"/>
  <c r="E39" i="16"/>
  <c r="E8" i="16" s="1"/>
  <c r="F39" i="16"/>
  <c r="F8" i="16" s="1"/>
  <c r="G39" i="16"/>
  <c r="G8" i="16" s="1"/>
  <c r="H39" i="16"/>
  <c r="H8" i="16" s="1"/>
  <c r="I39" i="16"/>
  <c r="I8" i="16" s="1"/>
  <c r="J39" i="16"/>
  <c r="J8" i="16" s="1"/>
  <c r="B27" i="16"/>
  <c r="B15" i="16" s="1"/>
  <c r="C27" i="16"/>
  <c r="C15" i="16" s="1"/>
  <c r="D27" i="16"/>
  <c r="D15" i="16" s="1"/>
  <c r="E27" i="16"/>
  <c r="E15" i="16" s="1"/>
  <c r="F27" i="16"/>
  <c r="F15" i="16" s="1"/>
  <c r="G27" i="16"/>
  <c r="G15" i="16" s="1"/>
  <c r="H27" i="16"/>
  <c r="H15" i="16" s="1"/>
  <c r="I27" i="16"/>
  <c r="I15" i="16" s="1"/>
  <c r="J27" i="16"/>
  <c r="J15" i="16" s="1"/>
  <c r="B40" i="16"/>
  <c r="B13" i="16" s="1"/>
  <c r="C40" i="16"/>
  <c r="C13" i="16" s="1"/>
  <c r="D40" i="16"/>
  <c r="D13" i="16" s="1"/>
  <c r="E40" i="16"/>
  <c r="E13" i="16" s="1"/>
  <c r="F40" i="16"/>
  <c r="F13" i="16" s="1"/>
  <c r="G40" i="16"/>
  <c r="G13" i="16" s="1"/>
  <c r="H40" i="16"/>
  <c r="H13" i="16" s="1"/>
  <c r="I40" i="16"/>
  <c r="I13" i="16" s="1"/>
  <c r="J40" i="16"/>
  <c r="J13" i="16" s="1"/>
  <c r="B28" i="16"/>
  <c r="C28" i="16"/>
  <c r="D28" i="16"/>
  <c r="D16" i="16" s="1"/>
  <c r="E28" i="16"/>
  <c r="E16" i="16" s="1"/>
  <c r="F28" i="16"/>
  <c r="F16" i="16" s="1"/>
  <c r="G28" i="16"/>
  <c r="G16" i="16" s="1"/>
  <c r="H28" i="16"/>
  <c r="I28" i="16"/>
  <c r="I16" i="16" s="1"/>
  <c r="J28" i="16"/>
  <c r="J16" i="16" s="1"/>
  <c r="B41" i="16"/>
  <c r="B18" i="16" s="1"/>
  <c r="C41" i="16"/>
  <c r="C18" i="16" s="1"/>
  <c r="D41" i="16"/>
  <c r="D18" i="16" s="1"/>
  <c r="E41" i="16"/>
  <c r="E18" i="16" s="1"/>
  <c r="F41" i="16"/>
  <c r="F18" i="16" s="1"/>
  <c r="G41" i="16"/>
  <c r="G18" i="16" s="1"/>
  <c r="H41" i="16"/>
  <c r="H18" i="16" s="1"/>
  <c r="I41" i="16"/>
  <c r="I18" i="16" s="1"/>
  <c r="J41" i="16"/>
  <c r="J18" i="16" s="1"/>
  <c r="A31" i="16"/>
  <c r="B31" i="16"/>
  <c r="B6" i="16" s="1"/>
  <c r="C31" i="16"/>
  <c r="D31" i="16"/>
  <c r="D6" i="16" s="1"/>
  <c r="E31" i="16"/>
  <c r="E6" i="16" s="1"/>
  <c r="F31" i="16"/>
  <c r="F6" i="16" s="1"/>
  <c r="G31" i="16"/>
  <c r="G6" i="16" s="1"/>
  <c r="H31" i="16"/>
  <c r="H6" i="16" s="1"/>
  <c r="I31" i="16"/>
  <c r="I6" i="16" s="1"/>
  <c r="J31" i="16"/>
  <c r="J6" i="16" s="1"/>
  <c r="A44" i="16"/>
  <c r="B44" i="16"/>
  <c r="C44" i="16"/>
  <c r="C4" i="16" s="1"/>
  <c r="D44" i="16"/>
  <c r="D4" i="16" s="1"/>
  <c r="E44" i="16"/>
  <c r="E4" i="16" s="1"/>
  <c r="F44" i="16"/>
  <c r="F4" i="16" s="1"/>
  <c r="G44" i="16"/>
  <c r="G4" i="16" s="1"/>
  <c r="H44" i="16"/>
  <c r="H4" i="16" s="1"/>
  <c r="I44" i="16"/>
  <c r="I4" i="16" s="1"/>
  <c r="J44" i="16"/>
  <c r="J4" i="16" s="1"/>
  <c r="A32" i="16"/>
  <c r="B32" i="16"/>
  <c r="B11" i="16" s="1"/>
  <c r="C32" i="16"/>
  <c r="C11" i="16" s="1"/>
  <c r="D32" i="16"/>
  <c r="D11" i="16" s="1"/>
  <c r="E32" i="16"/>
  <c r="E11" i="16" s="1"/>
  <c r="F32" i="16"/>
  <c r="F11" i="16" s="1"/>
  <c r="G32" i="16"/>
  <c r="G11" i="16" s="1"/>
  <c r="H32" i="16"/>
  <c r="H11" i="16" s="1"/>
  <c r="I32" i="16"/>
  <c r="I11" i="16" s="1"/>
  <c r="J32" i="16"/>
  <c r="J11" i="16" s="1"/>
  <c r="A45" i="16"/>
  <c r="B45" i="16"/>
  <c r="C45" i="16"/>
  <c r="C9" i="16" s="1"/>
  <c r="D45" i="16"/>
  <c r="D9" i="16" s="1"/>
  <c r="E45" i="16"/>
  <c r="E9" i="16" s="1"/>
  <c r="F45" i="16"/>
  <c r="F9" i="16" s="1"/>
  <c r="G45" i="16"/>
  <c r="G9" i="16" s="1"/>
  <c r="H45" i="16"/>
  <c r="H9" i="16" s="1"/>
  <c r="I45" i="16"/>
  <c r="I9" i="16" s="1"/>
  <c r="J45" i="16"/>
  <c r="J9" i="16" s="1"/>
  <c r="A33" i="16"/>
  <c r="A17" i="16" s="1"/>
  <c r="B33" i="16"/>
  <c r="C33" i="16"/>
  <c r="D33" i="16"/>
  <c r="E33" i="16"/>
  <c r="F33" i="16"/>
  <c r="G33" i="16"/>
  <c r="H33" i="16"/>
  <c r="I33" i="16"/>
  <c r="J33" i="16"/>
  <c r="A46" i="16"/>
  <c r="B46" i="16"/>
  <c r="C46" i="16"/>
  <c r="C14" i="16" s="1"/>
  <c r="D46" i="16"/>
  <c r="D14" i="16" s="1"/>
  <c r="E46" i="16"/>
  <c r="E14" i="16" s="1"/>
  <c r="F46" i="16"/>
  <c r="F14" i="16" s="1"/>
  <c r="G46" i="16"/>
  <c r="G14" i="16" s="1"/>
  <c r="H46" i="16"/>
  <c r="H14" i="16" s="1"/>
  <c r="I46" i="16"/>
  <c r="I14" i="16" s="1"/>
  <c r="J46" i="16"/>
  <c r="J14" i="16" s="1"/>
  <c r="A34" i="16"/>
  <c r="B34" i="16"/>
  <c r="B21" i="16" s="1"/>
  <c r="C34" i="16"/>
  <c r="C21" i="16" s="1"/>
  <c r="D34" i="16"/>
  <c r="D21" i="16" s="1"/>
  <c r="E34" i="16"/>
  <c r="E21" i="16" s="1"/>
  <c r="F34" i="16"/>
  <c r="F21" i="16" s="1"/>
  <c r="G34" i="16"/>
  <c r="G21" i="16" s="1"/>
  <c r="H34" i="16"/>
  <c r="H21" i="16" s="1"/>
  <c r="I34" i="16"/>
  <c r="I21" i="16" s="1"/>
  <c r="J34" i="16"/>
  <c r="J21" i="16" s="1"/>
  <c r="A47" i="16"/>
  <c r="B47" i="16"/>
  <c r="C47" i="16"/>
  <c r="C19" i="16" s="1"/>
  <c r="D47" i="16"/>
  <c r="D19" i="16" s="1"/>
  <c r="E47" i="16"/>
  <c r="E19" i="16" s="1"/>
  <c r="F47" i="16"/>
  <c r="F19" i="16" s="1"/>
  <c r="G47" i="16"/>
  <c r="G19" i="16" s="1"/>
  <c r="H47" i="16"/>
  <c r="H19" i="16" s="1"/>
  <c r="I47" i="16"/>
  <c r="I19" i="16" s="1"/>
  <c r="J47" i="16"/>
  <c r="J19" i="16" s="1"/>
  <c r="A2" i="16"/>
  <c r="C2" i="16"/>
  <c r="D2" i="16"/>
  <c r="E2" i="16"/>
  <c r="F2" i="16"/>
  <c r="G2" i="16"/>
  <c r="H2" i="16"/>
  <c r="I2" i="16"/>
  <c r="J2" i="16"/>
  <c r="D5" i="16"/>
  <c r="C17" i="16"/>
  <c r="D17" i="16"/>
  <c r="E17" i="16"/>
  <c r="F17" i="16"/>
  <c r="G17" i="16"/>
  <c r="H17" i="16"/>
  <c r="I17" i="16"/>
  <c r="J17" i="16"/>
  <c r="C3" i="15"/>
  <c r="K3" i="15" s="1"/>
  <c r="D3" i="15"/>
  <c r="E3" i="15"/>
  <c r="F3" i="15"/>
  <c r="G3" i="15"/>
  <c r="H3" i="15"/>
  <c r="I3" i="15"/>
  <c r="J3" i="15"/>
  <c r="C4" i="15"/>
  <c r="D4" i="15"/>
  <c r="E4" i="15"/>
  <c r="F4" i="15"/>
  <c r="G4" i="15"/>
  <c r="H4" i="15"/>
  <c r="I4" i="15"/>
  <c r="J4" i="15"/>
  <c r="C5" i="15"/>
  <c r="D5" i="15"/>
  <c r="E5" i="15"/>
  <c r="F5" i="15"/>
  <c r="G5" i="15"/>
  <c r="H5" i="15"/>
  <c r="I5" i="15"/>
  <c r="J5" i="15"/>
  <c r="C6" i="15"/>
  <c r="D6" i="15"/>
  <c r="E6" i="15"/>
  <c r="F6" i="15"/>
  <c r="G6" i="15"/>
  <c r="H6" i="15"/>
  <c r="I6" i="15"/>
  <c r="J6" i="15"/>
  <c r="C7" i="15"/>
  <c r="D7" i="15"/>
  <c r="E7" i="15"/>
  <c r="F7" i="15"/>
  <c r="G7" i="15"/>
  <c r="H7" i="15"/>
  <c r="I7" i="15"/>
  <c r="J7" i="15"/>
  <c r="J27" i="15" s="1"/>
  <c r="C8" i="15"/>
  <c r="D8" i="15"/>
  <c r="E8" i="15"/>
  <c r="F8" i="15"/>
  <c r="G8" i="15"/>
  <c r="H8" i="15"/>
  <c r="I8" i="15"/>
  <c r="J8" i="15"/>
  <c r="C9" i="15"/>
  <c r="D9" i="15"/>
  <c r="E9" i="15"/>
  <c r="F9" i="15"/>
  <c r="G9" i="15"/>
  <c r="H9" i="15"/>
  <c r="I9" i="15"/>
  <c r="J9" i="15"/>
  <c r="C10" i="15"/>
  <c r="D10" i="15"/>
  <c r="E10" i="15"/>
  <c r="F10" i="15"/>
  <c r="G10" i="15"/>
  <c r="H10" i="15"/>
  <c r="I10" i="15"/>
  <c r="J10" i="15"/>
  <c r="C11" i="15"/>
  <c r="D11" i="15"/>
  <c r="E11" i="15"/>
  <c r="F11" i="15"/>
  <c r="G11" i="15"/>
  <c r="H11" i="15"/>
  <c r="I11" i="15"/>
  <c r="J11" i="15"/>
  <c r="C12" i="15"/>
  <c r="D12" i="15"/>
  <c r="E12" i="15"/>
  <c r="F12" i="15"/>
  <c r="G12" i="15"/>
  <c r="H12" i="15"/>
  <c r="I12" i="15"/>
  <c r="J12" i="15"/>
  <c r="C13" i="15"/>
  <c r="D13" i="15"/>
  <c r="E13" i="15"/>
  <c r="F13" i="15"/>
  <c r="G13" i="15"/>
  <c r="H13" i="15"/>
  <c r="I13" i="15"/>
  <c r="J13" i="15"/>
  <c r="C14" i="15"/>
  <c r="D14" i="15"/>
  <c r="E14" i="15"/>
  <c r="F14" i="15"/>
  <c r="G14" i="15"/>
  <c r="H14" i="15"/>
  <c r="I14" i="15"/>
  <c r="J14" i="15"/>
  <c r="C15" i="15"/>
  <c r="D15" i="15"/>
  <c r="E15" i="15"/>
  <c r="F15" i="15"/>
  <c r="G15" i="15"/>
  <c r="H15" i="15"/>
  <c r="I15" i="15"/>
  <c r="J15" i="15"/>
  <c r="C16" i="15"/>
  <c r="K16" i="15" s="1"/>
  <c r="D16" i="15"/>
  <c r="E16" i="15"/>
  <c r="F16" i="15"/>
  <c r="G16" i="15"/>
  <c r="H16" i="15"/>
  <c r="I16" i="15"/>
  <c r="J16" i="15"/>
  <c r="C31" i="15"/>
  <c r="D31" i="15"/>
  <c r="E31" i="15"/>
  <c r="F31" i="15"/>
  <c r="G31" i="15"/>
  <c r="H31" i="15"/>
  <c r="I31" i="15"/>
  <c r="J31" i="15"/>
  <c r="M3" i="14"/>
  <c r="N3" i="14"/>
  <c r="M4" i="14"/>
  <c r="N4" i="14"/>
  <c r="M5" i="14"/>
  <c r="N5" i="14"/>
  <c r="M6" i="14"/>
  <c r="N6" i="14"/>
  <c r="E2" i="2"/>
  <c r="E7" i="2" s="1"/>
  <c r="E12" i="14"/>
  <c r="C17" i="14"/>
  <c r="B7" i="2"/>
  <c r="C7" i="2"/>
  <c r="D7" i="2"/>
  <c r="F7" i="2"/>
  <c r="G7" i="2"/>
  <c r="H7" i="2"/>
  <c r="A21" i="14"/>
  <c r="A20" i="14"/>
  <c r="A19" i="14"/>
  <c r="A18" i="14"/>
  <c r="A16" i="14"/>
  <c r="A15" i="14"/>
  <c r="A14" i="14"/>
  <c r="A13" i="14"/>
  <c r="A11" i="14"/>
  <c r="A10" i="14"/>
  <c r="A9" i="14"/>
  <c r="A8" i="14"/>
  <c r="J17" i="14"/>
  <c r="H17" i="14"/>
  <c r="G17" i="14"/>
  <c r="F17" i="14"/>
  <c r="D17" i="14"/>
  <c r="J12" i="14"/>
  <c r="H12" i="14"/>
  <c r="G12" i="14"/>
  <c r="F12" i="14"/>
  <c r="D12" i="14"/>
  <c r="C12" i="14"/>
  <c r="B17" i="14"/>
  <c r="B12" i="14"/>
  <c r="J7" i="14"/>
  <c r="H7" i="14"/>
  <c r="G7" i="14"/>
  <c r="F7" i="14"/>
  <c r="D7" i="14"/>
  <c r="C7" i="14"/>
  <c r="B7" i="14"/>
  <c r="B3" i="14"/>
  <c r="C3" i="14"/>
  <c r="D3" i="14"/>
  <c r="E3" i="14"/>
  <c r="F3" i="14"/>
  <c r="G3" i="14"/>
  <c r="H3" i="14"/>
  <c r="I3" i="14"/>
  <c r="J3" i="14"/>
  <c r="B8" i="14"/>
  <c r="C8" i="14"/>
  <c r="D8" i="14"/>
  <c r="E8" i="14"/>
  <c r="F8" i="14"/>
  <c r="G8" i="14"/>
  <c r="H8" i="14"/>
  <c r="I8" i="14"/>
  <c r="J8" i="14"/>
  <c r="B13" i="14"/>
  <c r="C13" i="14"/>
  <c r="D13" i="14"/>
  <c r="E13" i="14"/>
  <c r="F13" i="14"/>
  <c r="G13" i="14"/>
  <c r="H13" i="14"/>
  <c r="I13" i="14"/>
  <c r="J13" i="14"/>
  <c r="B18" i="14"/>
  <c r="C18" i="14"/>
  <c r="D18" i="14"/>
  <c r="E18" i="14"/>
  <c r="F18" i="14"/>
  <c r="G18" i="14"/>
  <c r="H18" i="14"/>
  <c r="I18" i="14"/>
  <c r="J18" i="14"/>
  <c r="B4" i="14"/>
  <c r="C4" i="14"/>
  <c r="D4" i="14"/>
  <c r="E4" i="14"/>
  <c r="F4" i="14"/>
  <c r="G4" i="14"/>
  <c r="H4" i="14"/>
  <c r="I4" i="14"/>
  <c r="J4" i="14"/>
  <c r="B9" i="14"/>
  <c r="C9" i="14"/>
  <c r="D9" i="14"/>
  <c r="E9" i="14"/>
  <c r="F9" i="14"/>
  <c r="G9" i="14"/>
  <c r="H9" i="14"/>
  <c r="I9" i="14"/>
  <c r="J9" i="14"/>
  <c r="B14" i="14"/>
  <c r="C14" i="14"/>
  <c r="D14" i="14"/>
  <c r="E14" i="14"/>
  <c r="F14" i="14"/>
  <c r="G14" i="14"/>
  <c r="H14" i="14"/>
  <c r="I14" i="14"/>
  <c r="J14" i="14"/>
  <c r="B19" i="14"/>
  <c r="C19" i="14"/>
  <c r="D19" i="14"/>
  <c r="E19" i="14"/>
  <c r="F19" i="14"/>
  <c r="G19" i="14"/>
  <c r="H19" i="14"/>
  <c r="I19" i="14"/>
  <c r="J19" i="14"/>
  <c r="B5" i="14"/>
  <c r="C5" i="14"/>
  <c r="D5" i="14"/>
  <c r="E5" i="14"/>
  <c r="F5" i="14"/>
  <c r="G5" i="14"/>
  <c r="H5" i="14"/>
  <c r="I5" i="14"/>
  <c r="J5" i="14"/>
  <c r="B10" i="14"/>
  <c r="C10" i="14"/>
  <c r="D10" i="14"/>
  <c r="E10" i="14"/>
  <c r="F10" i="14"/>
  <c r="G10" i="14"/>
  <c r="H10" i="14"/>
  <c r="I10" i="14"/>
  <c r="J10" i="14"/>
  <c r="B15" i="14"/>
  <c r="C15" i="14"/>
  <c r="D15" i="14"/>
  <c r="E15" i="14"/>
  <c r="F15" i="14"/>
  <c r="G15" i="14"/>
  <c r="H15" i="14"/>
  <c r="I15" i="14"/>
  <c r="J15" i="14"/>
  <c r="B20" i="14"/>
  <c r="C20" i="14"/>
  <c r="D20" i="14"/>
  <c r="E20" i="14"/>
  <c r="F20" i="14"/>
  <c r="G20" i="14"/>
  <c r="H20" i="14"/>
  <c r="I20" i="14"/>
  <c r="J20" i="14"/>
  <c r="B6" i="14"/>
  <c r="C6" i="14"/>
  <c r="D6" i="14"/>
  <c r="E6" i="14"/>
  <c r="F6" i="14"/>
  <c r="G6" i="14"/>
  <c r="H6" i="14"/>
  <c r="I6" i="14"/>
  <c r="J6" i="14"/>
  <c r="B11" i="14"/>
  <c r="C11" i="14"/>
  <c r="D11" i="14"/>
  <c r="E11" i="14"/>
  <c r="F11" i="14"/>
  <c r="G11" i="14"/>
  <c r="I11" i="14"/>
  <c r="J11" i="14"/>
  <c r="B16" i="14"/>
  <c r="C16" i="14"/>
  <c r="D16" i="14"/>
  <c r="E16" i="14"/>
  <c r="F16" i="14"/>
  <c r="G16" i="14"/>
  <c r="H16" i="14"/>
  <c r="I16" i="14"/>
  <c r="J16" i="14"/>
  <c r="B21" i="14"/>
  <c r="C21" i="14"/>
  <c r="D21" i="14"/>
  <c r="E21" i="14"/>
  <c r="F21" i="14"/>
  <c r="G21" i="14"/>
  <c r="H21" i="14"/>
  <c r="I21" i="14"/>
  <c r="J21" i="14"/>
  <c r="I7" i="13"/>
  <c r="B7" i="13"/>
  <c r="C7" i="13"/>
  <c r="D7" i="13"/>
  <c r="E7" i="13"/>
  <c r="F7" i="13"/>
  <c r="G7" i="13"/>
  <c r="H7" i="13"/>
  <c r="J7" i="13"/>
  <c r="B12" i="13"/>
  <c r="C12" i="13"/>
  <c r="D12" i="13"/>
  <c r="E12" i="13"/>
  <c r="F12" i="13"/>
  <c r="G12" i="13"/>
  <c r="H12" i="13"/>
  <c r="J12" i="13"/>
  <c r="B17" i="13"/>
  <c r="C17" i="13"/>
  <c r="D17" i="13"/>
  <c r="E17" i="13"/>
  <c r="F17" i="13"/>
  <c r="G17" i="13"/>
  <c r="H17" i="13"/>
  <c r="J17" i="13"/>
  <c r="B3" i="13"/>
  <c r="C3" i="13"/>
  <c r="D3" i="13"/>
  <c r="E3" i="13"/>
  <c r="F3" i="13"/>
  <c r="G3" i="13"/>
  <c r="H3" i="13"/>
  <c r="I3" i="13"/>
  <c r="J3" i="13"/>
  <c r="B8" i="13"/>
  <c r="C8" i="13"/>
  <c r="D8" i="13"/>
  <c r="E8" i="13"/>
  <c r="F8" i="13"/>
  <c r="G8" i="13"/>
  <c r="H8" i="13"/>
  <c r="I8" i="13"/>
  <c r="J8" i="13"/>
  <c r="B13" i="13"/>
  <c r="C13" i="13"/>
  <c r="D13" i="13"/>
  <c r="E13" i="13"/>
  <c r="F13" i="13"/>
  <c r="G13" i="13"/>
  <c r="H13" i="13"/>
  <c r="I13" i="13"/>
  <c r="J13" i="13"/>
  <c r="B18" i="13"/>
  <c r="C18" i="13"/>
  <c r="D18" i="13"/>
  <c r="E18" i="13"/>
  <c r="F18" i="13"/>
  <c r="G18" i="13"/>
  <c r="H18" i="13"/>
  <c r="I18" i="13"/>
  <c r="J18" i="13"/>
  <c r="B4" i="13"/>
  <c r="C4" i="13"/>
  <c r="D4" i="13"/>
  <c r="E4" i="13"/>
  <c r="F4" i="13"/>
  <c r="G4" i="13"/>
  <c r="H4" i="13"/>
  <c r="I4" i="13"/>
  <c r="J4" i="13"/>
  <c r="B9" i="13"/>
  <c r="C9" i="13"/>
  <c r="D9" i="13"/>
  <c r="E9" i="13"/>
  <c r="F9" i="13"/>
  <c r="G9" i="13"/>
  <c r="H9" i="13"/>
  <c r="I9" i="13"/>
  <c r="J9" i="13"/>
  <c r="B14" i="13"/>
  <c r="C14" i="13"/>
  <c r="D14" i="13"/>
  <c r="E14" i="13"/>
  <c r="F14" i="13"/>
  <c r="G14" i="13"/>
  <c r="H14" i="13"/>
  <c r="I14" i="13"/>
  <c r="J14" i="13"/>
  <c r="B19" i="13"/>
  <c r="C19" i="13"/>
  <c r="D19" i="13"/>
  <c r="E19" i="13"/>
  <c r="F19" i="13"/>
  <c r="G19" i="13"/>
  <c r="H19" i="13"/>
  <c r="I19" i="13"/>
  <c r="J19" i="13"/>
  <c r="B5" i="13"/>
  <c r="C5" i="13"/>
  <c r="D5" i="13"/>
  <c r="E5" i="13"/>
  <c r="F5" i="13"/>
  <c r="G5" i="13"/>
  <c r="H5" i="13"/>
  <c r="I5" i="13"/>
  <c r="J5" i="13"/>
  <c r="B10" i="13"/>
  <c r="C10" i="13"/>
  <c r="D10" i="13"/>
  <c r="E10" i="13"/>
  <c r="F10" i="13"/>
  <c r="G10" i="13"/>
  <c r="H10" i="13"/>
  <c r="I10" i="13"/>
  <c r="J10" i="13"/>
  <c r="B15" i="13"/>
  <c r="C15" i="13"/>
  <c r="D15" i="13"/>
  <c r="E15" i="13"/>
  <c r="F15" i="13"/>
  <c r="G15" i="13"/>
  <c r="H15" i="13"/>
  <c r="I15" i="13"/>
  <c r="J15" i="13"/>
  <c r="B20" i="13"/>
  <c r="C20" i="13"/>
  <c r="D20" i="13"/>
  <c r="E20" i="13"/>
  <c r="F20" i="13"/>
  <c r="G20" i="13"/>
  <c r="H20" i="13"/>
  <c r="I20" i="13"/>
  <c r="J20" i="13"/>
  <c r="B6" i="13"/>
  <c r="C6" i="13"/>
  <c r="D6" i="13"/>
  <c r="E6" i="13"/>
  <c r="F6" i="13"/>
  <c r="G6" i="13"/>
  <c r="H6" i="13"/>
  <c r="I6" i="13"/>
  <c r="J6" i="13"/>
  <c r="B11" i="13"/>
  <c r="C11" i="13"/>
  <c r="D11" i="13"/>
  <c r="E11" i="13"/>
  <c r="F11" i="13"/>
  <c r="G11" i="13"/>
  <c r="J11" i="13"/>
  <c r="B16" i="13"/>
  <c r="C16" i="13"/>
  <c r="D16" i="13"/>
  <c r="E16" i="13"/>
  <c r="F16" i="13"/>
  <c r="G16" i="13"/>
  <c r="H16" i="13"/>
  <c r="I16" i="13"/>
  <c r="J16" i="13"/>
  <c r="B21" i="13"/>
  <c r="C21" i="13"/>
  <c r="D21" i="13"/>
  <c r="E21" i="13"/>
  <c r="F21" i="13"/>
  <c r="G21" i="13"/>
  <c r="H21" i="13"/>
  <c r="I21" i="13"/>
  <c r="J21" i="13"/>
  <c r="L25" i="11"/>
  <c r="L24" i="11"/>
  <c r="L23" i="11"/>
  <c r="L19" i="11"/>
  <c r="L18" i="11"/>
  <c r="L17" i="11"/>
  <c r="J3" i="10"/>
  <c r="B3" i="10"/>
  <c r="C3" i="10"/>
  <c r="D3" i="10"/>
  <c r="E3" i="10"/>
  <c r="F3" i="10"/>
  <c r="G3" i="10"/>
  <c r="H3" i="10"/>
  <c r="I3" i="10"/>
  <c r="B8" i="10"/>
  <c r="C8" i="10"/>
  <c r="D8" i="10"/>
  <c r="E8" i="10"/>
  <c r="F8" i="10"/>
  <c r="G8" i="10"/>
  <c r="H8" i="10"/>
  <c r="I8" i="10"/>
  <c r="J8" i="10"/>
  <c r="B13" i="10"/>
  <c r="C13" i="10"/>
  <c r="D13" i="10"/>
  <c r="E13" i="10"/>
  <c r="F13" i="10"/>
  <c r="G13" i="10"/>
  <c r="H13" i="10"/>
  <c r="I13" i="10"/>
  <c r="J13" i="10"/>
  <c r="C18" i="10"/>
  <c r="K18" i="10" s="1"/>
  <c r="D18" i="10"/>
  <c r="E18" i="10"/>
  <c r="F18" i="10"/>
  <c r="G18" i="10"/>
  <c r="H18" i="10"/>
  <c r="I18" i="10"/>
  <c r="J18" i="10"/>
  <c r="E4" i="24" l="1"/>
  <c r="N4" i="24" s="1"/>
  <c r="F19" i="21"/>
  <c r="F20" i="21"/>
  <c r="F25" i="21"/>
  <c r="F24" i="21"/>
  <c r="B16" i="18"/>
  <c r="B20" i="18"/>
  <c r="B19" i="18"/>
  <c r="D20" i="18"/>
  <c r="E20" i="18"/>
  <c r="F10" i="24"/>
  <c r="K7" i="19"/>
  <c r="K3" i="19"/>
  <c r="F65" i="14"/>
  <c r="F60" i="14"/>
  <c r="F58" i="14"/>
  <c r="B14" i="16"/>
  <c r="K46" i="16"/>
  <c r="B9" i="16"/>
  <c r="K45" i="16"/>
  <c r="B4" i="16"/>
  <c r="K44" i="16"/>
  <c r="B19" i="16"/>
  <c r="K47" i="16"/>
  <c r="G69" i="20"/>
  <c r="D69" i="20"/>
  <c r="H69" i="20"/>
  <c r="E69" i="20"/>
  <c r="G68" i="20"/>
  <c r="D68" i="20"/>
  <c r="E68" i="20"/>
  <c r="H68" i="20"/>
  <c r="D67" i="20"/>
  <c r="G67" i="20"/>
  <c r="E67" i="20"/>
  <c r="H67" i="20"/>
  <c r="D66" i="20"/>
  <c r="G66" i="20"/>
  <c r="E66" i="20"/>
  <c r="H66" i="20"/>
  <c r="K6" i="19"/>
  <c r="K8" i="19"/>
  <c r="K4" i="19"/>
  <c r="K5" i="19"/>
  <c r="E5" i="24"/>
  <c r="N5" i="24" s="1"/>
  <c r="J11" i="18"/>
  <c r="J6" i="18"/>
  <c r="J4" i="18"/>
  <c r="E21" i="19"/>
  <c r="J21" i="22" s="1"/>
  <c r="B21" i="19"/>
  <c r="C10" i="24" s="1"/>
  <c r="E10" i="19"/>
  <c r="B15" i="18"/>
  <c r="C5" i="24" s="1"/>
  <c r="D15" i="18"/>
  <c r="J15" i="21" s="1"/>
  <c r="D7" i="18"/>
  <c r="J7" i="21" s="1"/>
  <c r="B7" i="18"/>
  <c r="C4" i="24" s="1"/>
  <c r="B22" i="19"/>
  <c r="J13" i="18"/>
  <c r="B5" i="24"/>
  <c r="J12" i="18"/>
  <c r="B8" i="18"/>
  <c r="J5" i="18"/>
  <c r="K13" i="10"/>
  <c r="K6" i="13"/>
  <c r="F20" i="16"/>
  <c r="K16" i="19"/>
  <c r="K3" i="10"/>
  <c r="K8" i="10"/>
  <c r="K11" i="13"/>
  <c r="K16" i="13"/>
  <c r="K21" i="13"/>
  <c r="F47" i="14"/>
  <c r="K17" i="19"/>
  <c r="K18" i="19"/>
  <c r="K14" i="19"/>
  <c r="K19" i="19"/>
  <c r="K15" i="19"/>
  <c r="F26" i="14"/>
  <c r="F48" i="14"/>
  <c r="F49" i="14"/>
  <c r="C20" i="16"/>
  <c r="C16" i="16"/>
  <c r="B20" i="16"/>
  <c r="B16" i="16"/>
  <c r="H20" i="16"/>
  <c r="H16" i="16"/>
  <c r="K27" i="16"/>
  <c r="K33" i="16"/>
  <c r="D20" i="16"/>
  <c r="K10" i="15"/>
  <c r="K6" i="15"/>
  <c r="K8" i="15"/>
  <c r="K13" i="15"/>
  <c r="K4" i="15"/>
  <c r="K11" i="15"/>
  <c r="K14" i="15"/>
  <c r="K5" i="15"/>
  <c r="K15" i="15"/>
  <c r="K31" i="15"/>
  <c r="K9" i="15"/>
  <c r="F37" i="14"/>
  <c r="F25" i="14"/>
  <c r="F52" i="14"/>
  <c r="F50" i="14"/>
  <c r="F53" i="14"/>
  <c r="F51" i="14"/>
  <c r="F41" i="14"/>
  <c r="F27" i="14"/>
  <c r="F54" i="14"/>
  <c r="G20" i="16"/>
  <c r="K31" i="16"/>
  <c r="K39" i="16"/>
  <c r="E20" i="16"/>
  <c r="K40" i="16"/>
  <c r="K25" i="16"/>
  <c r="J20" i="16"/>
  <c r="K38" i="16"/>
  <c r="C6" i="16"/>
  <c r="I20" i="16"/>
  <c r="K34" i="16"/>
  <c r="K26" i="16"/>
  <c r="K32" i="16"/>
  <c r="F43" i="14"/>
  <c r="F42" i="14"/>
  <c r="F30" i="14"/>
  <c r="F29" i="14"/>
  <c r="F40" i="14"/>
  <c r="F31" i="14"/>
  <c r="F36" i="14"/>
  <c r="F32" i="14"/>
  <c r="F28" i="14"/>
  <c r="F39" i="14"/>
  <c r="F38" i="14"/>
  <c r="K28" i="16"/>
  <c r="B3" i="16"/>
  <c r="K41" i="16"/>
  <c r="E7" i="14"/>
  <c r="E17" i="14"/>
  <c r="I12" i="14"/>
  <c r="I7" i="14"/>
  <c r="I17" i="14"/>
  <c r="I12" i="13"/>
  <c r="I17" i="13"/>
  <c r="H21" i="22" l="1"/>
  <c r="C9" i="24"/>
  <c r="L5" i="24"/>
  <c r="I5" i="24"/>
  <c r="L4" i="24"/>
  <c r="I4" i="24"/>
  <c r="F25" i="18"/>
  <c r="F24" i="18"/>
  <c r="F20" i="18"/>
  <c r="F19" i="18"/>
  <c r="H5" i="24"/>
  <c r="I10" i="24"/>
  <c r="B10" i="24"/>
  <c r="H10" i="24" s="1"/>
  <c r="H22" i="22"/>
  <c r="I9" i="24"/>
  <c r="B9" i="24"/>
  <c r="H9" i="24" s="1"/>
  <c r="H15" i="21"/>
  <c r="Q5" i="24"/>
  <c r="H8" i="21"/>
  <c r="B4" i="24"/>
  <c r="Q4" i="24"/>
  <c r="H7" i="21"/>
  <c r="H16" i="21"/>
  <c r="J16" i="2"/>
  <c r="I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B16" i="2"/>
  <c r="B15" i="2"/>
  <c r="B14" i="2"/>
  <c r="B13" i="2"/>
  <c r="J31" i="10"/>
  <c r="I31" i="10"/>
  <c r="H31" i="10"/>
  <c r="G31" i="10"/>
  <c r="F31" i="10"/>
  <c r="E31" i="10"/>
  <c r="D31" i="10"/>
  <c r="C31" i="10"/>
  <c r="B31" i="10"/>
  <c r="J16" i="10"/>
  <c r="I16" i="10"/>
  <c r="H16" i="10"/>
  <c r="G16" i="10"/>
  <c r="F16" i="10"/>
  <c r="E16" i="10"/>
  <c r="D16" i="10"/>
  <c r="C16" i="10"/>
  <c r="B16" i="10"/>
  <c r="K16" i="10" s="1"/>
  <c r="J11" i="10"/>
  <c r="I11" i="10"/>
  <c r="H11" i="10"/>
  <c r="G11" i="10"/>
  <c r="F11" i="10"/>
  <c r="E11" i="10"/>
  <c r="D11" i="10"/>
  <c r="C11" i="10"/>
  <c r="B11" i="10"/>
  <c r="J6" i="10"/>
  <c r="I6" i="10"/>
  <c r="H6" i="10"/>
  <c r="G6" i="10"/>
  <c r="F6" i="10"/>
  <c r="E6" i="10"/>
  <c r="D6" i="10"/>
  <c r="C6" i="10"/>
  <c r="B6" i="10"/>
  <c r="J30" i="10"/>
  <c r="I30" i="10"/>
  <c r="H30" i="10"/>
  <c r="G30" i="10"/>
  <c r="F30" i="10"/>
  <c r="E30" i="10"/>
  <c r="D30" i="10"/>
  <c r="C30" i="10"/>
  <c r="B30" i="10"/>
  <c r="J15" i="10"/>
  <c r="I15" i="10"/>
  <c r="H15" i="10"/>
  <c r="G15" i="10"/>
  <c r="F15" i="10"/>
  <c r="E15" i="10"/>
  <c r="D15" i="10"/>
  <c r="C15" i="10"/>
  <c r="B15" i="10"/>
  <c r="J10" i="10"/>
  <c r="I10" i="10"/>
  <c r="H10" i="10"/>
  <c r="G10" i="10"/>
  <c r="F10" i="10"/>
  <c r="E10" i="10"/>
  <c r="D10" i="10"/>
  <c r="C10" i="10"/>
  <c r="B10" i="10"/>
  <c r="J5" i="10"/>
  <c r="I5" i="10"/>
  <c r="H5" i="10"/>
  <c r="G5" i="10"/>
  <c r="F5" i="10"/>
  <c r="E5" i="10"/>
  <c r="D5" i="10"/>
  <c r="C5" i="10"/>
  <c r="B5" i="10"/>
  <c r="K5" i="10" s="1"/>
  <c r="J29" i="10"/>
  <c r="I29" i="10"/>
  <c r="H29" i="10"/>
  <c r="G29" i="10"/>
  <c r="F29" i="10"/>
  <c r="E29" i="10"/>
  <c r="D29" i="10"/>
  <c r="C29" i="10"/>
  <c r="B29" i="10"/>
  <c r="J19" i="10"/>
  <c r="I19" i="10"/>
  <c r="H19" i="10"/>
  <c r="G19" i="10"/>
  <c r="F19" i="10"/>
  <c r="E19" i="10"/>
  <c r="D19" i="10"/>
  <c r="C19" i="10"/>
  <c r="B19" i="10"/>
  <c r="J14" i="10"/>
  <c r="I14" i="10"/>
  <c r="H14" i="10"/>
  <c r="G14" i="10"/>
  <c r="F14" i="10"/>
  <c r="E14" i="10"/>
  <c r="D14" i="10"/>
  <c r="C14" i="10"/>
  <c r="B14" i="10"/>
  <c r="J9" i="10"/>
  <c r="I9" i="10"/>
  <c r="H9" i="10"/>
  <c r="G9" i="10"/>
  <c r="F9" i="10"/>
  <c r="E9" i="10"/>
  <c r="D9" i="10"/>
  <c r="C9" i="10"/>
  <c r="B9" i="10"/>
  <c r="J4" i="10"/>
  <c r="I4" i="10"/>
  <c r="H4" i="10"/>
  <c r="G4" i="10"/>
  <c r="F4" i="10"/>
  <c r="E4" i="10"/>
  <c r="D4" i="10"/>
  <c r="C4" i="10"/>
  <c r="B4" i="10"/>
  <c r="K4" i="10" s="1"/>
  <c r="J31" i="2"/>
  <c r="I31" i="2"/>
  <c r="H31" i="2"/>
  <c r="G31" i="2"/>
  <c r="F31" i="2"/>
  <c r="E31" i="2"/>
  <c r="D31" i="2"/>
  <c r="C31" i="2"/>
  <c r="B31" i="2"/>
  <c r="J26" i="2"/>
  <c r="I26" i="2"/>
  <c r="H26" i="2"/>
  <c r="G26" i="2"/>
  <c r="F26" i="2"/>
  <c r="E26" i="2"/>
  <c r="D26" i="2"/>
  <c r="C26" i="2"/>
  <c r="B26" i="2"/>
  <c r="J21" i="2"/>
  <c r="I21" i="2"/>
  <c r="H21" i="2"/>
  <c r="G21" i="2"/>
  <c r="F21" i="2"/>
  <c r="E21" i="2"/>
  <c r="D21" i="2"/>
  <c r="C21" i="2"/>
  <c r="B21" i="2"/>
  <c r="J11" i="2"/>
  <c r="I11" i="2"/>
  <c r="H11" i="2"/>
  <c r="G11" i="2"/>
  <c r="F11" i="2"/>
  <c r="E11" i="2"/>
  <c r="D11" i="2"/>
  <c r="C11" i="2"/>
  <c r="B11" i="2"/>
  <c r="K11" i="2" s="1"/>
  <c r="J6" i="2"/>
  <c r="H6" i="2"/>
  <c r="G6" i="2"/>
  <c r="F6" i="2"/>
  <c r="E6" i="2"/>
  <c r="D6" i="2"/>
  <c r="C6" i="2"/>
  <c r="B6" i="2"/>
  <c r="J30" i="2"/>
  <c r="I30" i="2"/>
  <c r="H30" i="2"/>
  <c r="G30" i="2"/>
  <c r="F30" i="2"/>
  <c r="E30" i="2"/>
  <c r="D30" i="2"/>
  <c r="C30" i="2"/>
  <c r="B30" i="2"/>
  <c r="J25" i="2"/>
  <c r="I25" i="2"/>
  <c r="H25" i="2"/>
  <c r="G25" i="2"/>
  <c r="F25" i="2"/>
  <c r="E25" i="2"/>
  <c r="D25" i="2"/>
  <c r="C25" i="2"/>
  <c r="B25" i="2"/>
  <c r="J20" i="2"/>
  <c r="I20" i="2"/>
  <c r="H20" i="2"/>
  <c r="G20" i="2"/>
  <c r="F20" i="2"/>
  <c r="E20" i="2"/>
  <c r="D20" i="2"/>
  <c r="C20" i="2"/>
  <c r="B20" i="2"/>
  <c r="J10" i="2"/>
  <c r="I10" i="2"/>
  <c r="H10" i="2"/>
  <c r="G10" i="2"/>
  <c r="F10" i="2"/>
  <c r="E10" i="2"/>
  <c r="D10" i="2"/>
  <c r="C10" i="2"/>
  <c r="B10" i="2"/>
  <c r="J5" i="2"/>
  <c r="H5" i="2"/>
  <c r="G5" i="2"/>
  <c r="F5" i="2"/>
  <c r="E5" i="2"/>
  <c r="D5" i="2"/>
  <c r="C5" i="2"/>
  <c r="B5" i="2"/>
  <c r="J29" i="2"/>
  <c r="I29" i="2"/>
  <c r="H29" i="2"/>
  <c r="G29" i="2"/>
  <c r="F29" i="2"/>
  <c r="E29" i="2"/>
  <c r="D29" i="2"/>
  <c r="C29" i="2"/>
  <c r="B29" i="2"/>
  <c r="J24" i="2"/>
  <c r="I24" i="2"/>
  <c r="H24" i="2"/>
  <c r="G24" i="2"/>
  <c r="F24" i="2"/>
  <c r="E24" i="2"/>
  <c r="D24" i="2"/>
  <c r="C24" i="2"/>
  <c r="B24" i="2"/>
  <c r="J19" i="2"/>
  <c r="I19" i="2"/>
  <c r="H19" i="2"/>
  <c r="G19" i="2"/>
  <c r="F19" i="2"/>
  <c r="E19" i="2"/>
  <c r="D19" i="2"/>
  <c r="C19" i="2"/>
  <c r="B19" i="2"/>
  <c r="J9" i="2"/>
  <c r="I9" i="2"/>
  <c r="H9" i="2"/>
  <c r="G9" i="2"/>
  <c r="F9" i="2"/>
  <c r="E9" i="2"/>
  <c r="D9" i="2"/>
  <c r="C9" i="2"/>
  <c r="B9" i="2"/>
  <c r="J4" i="2"/>
  <c r="H4" i="2"/>
  <c r="G4" i="2"/>
  <c r="F4" i="2"/>
  <c r="E4" i="2"/>
  <c r="D4" i="2"/>
  <c r="C4" i="2"/>
  <c r="B4" i="2"/>
  <c r="J28" i="2"/>
  <c r="I28" i="2"/>
  <c r="H28" i="2"/>
  <c r="G28" i="2"/>
  <c r="F28" i="2"/>
  <c r="E28" i="2"/>
  <c r="D28" i="2"/>
  <c r="C28" i="2"/>
  <c r="B28" i="2"/>
  <c r="J23" i="2"/>
  <c r="I23" i="2"/>
  <c r="H23" i="2"/>
  <c r="G23" i="2"/>
  <c r="F23" i="2"/>
  <c r="E23" i="2"/>
  <c r="D23" i="2"/>
  <c r="C23" i="2"/>
  <c r="B23" i="2"/>
  <c r="J18" i="2"/>
  <c r="I18" i="2"/>
  <c r="H18" i="2"/>
  <c r="G18" i="2"/>
  <c r="F18" i="2"/>
  <c r="E18" i="2"/>
  <c r="D18" i="2"/>
  <c r="C18" i="2"/>
  <c r="B18" i="2"/>
  <c r="J8" i="2"/>
  <c r="I8" i="2"/>
  <c r="H8" i="2"/>
  <c r="G8" i="2"/>
  <c r="F8" i="2"/>
  <c r="E8" i="2"/>
  <c r="D8" i="2"/>
  <c r="C8" i="2"/>
  <c r="B8" i="2"/>
  <c r="J3" i="2"/>
  <c r="H3" i="2"/>
  <c r="G3" i="2"/>
  <c r="F3" i="2"/>
  <c r="E3" i="2"/>
  <c r="D3" i="2"/>
  <c r="C3" i="2"/>
  <c r="B3" i="2"/>
  <c r="J22" i="2"/>
  <c r="J17" i="2"/>
  <c r="J12" i="2"/>
  <c r="J7" i="2"/>
  <c r="H4" i="24" l="1"/>
  <c r="K15" i="2"/>
  <c r="K14" i="10"/>
  <c r="K29" i="10"/>
  <c r="K9" i="10"/>
  <c r="K10" i="10"/>
  <c r="K11" i="10"/>
  <c r="K6" i="10"/>
  <c r="K15" i="10"/>
  <c r="K19" i="10"/>
  <c r="K30" i="10"/>
  <c r="K31" i="10"/>
  <c r="K23" i="2"/>
  <c r="K29" i="2"/>
  <c r="K13" i="2"/>
  <c r="K31" i="2"/>
  <c r="K14" i="2"/>
  <c r="K10" i="2"/>
  <c r="K8" i="2"/>
  <c r="K19" i="2"/>
  <c r="K3" i="2"/>
  <c r="K18" i="2"/>
  <c r="K28" i="2"/>
  <c r="K25" i="2"/>
  <c r="K9" i="2"/>
  <c r="K21" i="2"/>
  <c r="K26" i="2"/>
  <c r="K6" i="2"/>
  <c r="K16" i="2"/>
  <c r="K20" i="2"/>
  <c r="K5" i="2"/>
  <c r="K30" i="2"/>
  <c r="K24" i="2"/>
  <c r="K4" i="2"/>
  <c r="I17" i="2"/>
  <c r="H27" i="2" l="1"/>
  <c r="H22" i="2"/>
  <c r="H17" i="2"/>
  <c r="H12" i="2"/>
  <c r="G27" i="2" l="1"/>
  <c r="G22" i="2"/>
  <c r="G17" i="2"/>
  <c r="G12" i="2"/>
  <c r="C22" i="2"/>
  <c r="D22" i="2"/>
  <c r="E22" i="2"/>
  <c r="F22" i="2"/>
  <c r="F27" i="2"/>
  <c r="D27" i="2"/>
  <c r="E17" i="2"/>
  <c r="E27" i="2"/>
  <c r="C27" i="2"/>
  <c r="B27" i="2"/>
  <c r="B22" i="2"/>
  <c r="D17" i="2"/>
  <c r="F17" i="2"/>
  <c r="C17" i="2"/>
  <c r="B17" i="2"/>
  <c r="E12" i="2"/>
  <c r="D12" i="2"/>
  <c r="F12" i="2"/>
  <c r="C12" i="2"/>
  <c r="B12" i="2"/>
  <c r="J27" i="2" l="1"/>
</calcChain>
</file>

<file path=xl/sharedStrings.xml><?xml version="1.0" encoding="utf-8"?>
<sst xmlns="http://schemas.openxmlformats.org/spreadsheetml/2006/main" count="559" uniqueCount="125">
  <si>
    <t>Predictors</t>
  </si>
  <si>
    <t>Estimates</t>
  </si>
  <si>
    <t xml:space="preserve">SE </t>
  </si>
  <si>
    <t>H_Time</t>
  </si>
  <si>
    <t>L_time</t>
  </si>
  <si>
    <t>std.error</t>
  </si>
  <si>
    <t>t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</si>
  <si>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</si>
  <si>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</si>
  <si>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</si>
  <si>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</si>
  <si>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</si>
  <si>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</si>
  <si>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</si>
  <si>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MDC</t>
  </si>
  <si>
    <t>MWH</t>
  </si>
  <si>
    <t>MYN</t>
  </si>
  <si>
    <t>MDQ</t>
  </si>
  <si>
    <t>p. val.</t>
  </si>
  <si>
    <t xml:space="preserve"> </t>
  </si>
  <si>
    <t>slope</t>
  </si>
  <si>
    <t>sig.</t>
  </si>
  <si>
    <t>|CI-delta|</t>
  </si>
  <si>
    <t>L*H</t>
  </si>
  <si>
    <t>^[L*]H</t>
  </si>
  <si>
    <t>L*^[H]</t>
  </si>
  <si>
    <t>^[L*H]</t>
  </si>
  <si>
    <t xml:space="preserve">   </t>
  </si>
  <si>
    <t>l_f0</t>
  </si>
  <si>
    <t>h_f0</t>
  </si>
  <si>
    <t>l_t</t>
  </si>
  <si>
    <t>h_t</t>
  </si>
  <si>
    <t>p.adj</t>
  </si>
  <si>
    <t>est.</t>
  </si>
  <si>
    <t>MDC, MWH</t>
  </si>
  <si>
    <t>MDC, MYN</t>
  </si>
  <si>
    <t>MDC, MDQ</t>
  </si>
  <si>
    <t>MWH, MYN</t>
  </si>
  <si>
    <t>MWH, MDQ</t>
  </si>
  <si>
    <t>MYN, MDQ</t>
  </si>
  <si>
    <t>p.adj.</t>
  </si>
  <si>
    <r>
      <t>L_f</t>
    </r>
    <r>
      <rPr>
        <vertAlign val="subscript"/>
        <sz val="10"/>
        <color rgb="FF000000"/>
        <rFont val="Times New Roman"/>
        <family val="1"/>
      </rPr>
      <t>0</t>
    </r>
  </si>
  <si>
    <r>
      <t>H_f</t>
    </r>
    <r>
      <rPr>
        <vertAlign val="subscript"/>
        <sz val="10"/>
        <color rgb="FF000000"/>
        <rFont val="Times New Roman"/>
        <family val="1"/>
      </rPr>
      <t>0</t>
    </r>
  </si>
  <si>
    <t>07.5% CI</t>
  </si>
  <si>
    <r>
      <t>β</t>
    </r>
    <r>
      <rPr>
        <b/>
        <vertAlign val="subscript"/>
        <sz val="10"/>
        <color rgb="FF000000"/>
        <rFont val="Times New Roman"/>
        <family val="1"/>
      </rPr>
      <t>1</t>
    </r>
  </si>
  <si>
    <t>H_Time (ms)</t>
  </si>
  <si>
    <t>L_time (ms)</t>
  </si>
  <si>
    <t>signif.</t>
  </si>
  <si>
    <t>p.adj (BH)</t>
  </si>
  <si>
    <t>p.value</t>
  </si>
  <si>
    <t>z.value</t>
  </si>
  <si>
    <t>estimate</t>
  </si>
  <si>
    <t xml:space="preserve">     </t>
  </si>
  <si>
    <t>mode</t>
  </si>
  <si>
    <t>Slope</t>
  </si>
  <si>
    <r>
      <t xml:space="preserve">Mean </t>
    </r>
    <r>
      <rPr>
        <i/>
        <sz val="20"/>
        <color theme="1"/>
        <rFont val="Calibri Light"/>
        <family val="2"/>
        <scheme val="major"/>
      </rPr>
      <t>f</t>
    </r>
    <r>
      <rPr>
        <vertAlign val="subscript"/>
        <sz val="20"/>
        <color theme="1"/>
        <rFont val="Calibri Light"/>
        <family val="2"/>
        <scheme val="major"/>
      </rPr>
      <t>0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</si>
  <si>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c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</si>
  <si>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m</t>
    </r>
  </si>
  <si>
    <r>
      <t>L_f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</si>
  <si>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r>
      <t>H_f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</si>
  <si>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t>intercept</t>
  </si>
  <si>
    <t>conf.low</t>
  </si>
  <si>
    <t>conf.high</t>
  </si>
  <si>
    <t>MYN,  MDQ</t>
  </si>
  <si>
    <t>CI diff</t>
  </si>
  <si>
    <t>mode-only</t>
  </si>
  <si>
    <t>parameter</t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</si>
  <si>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vertAlign val="subscript"/>
        <sz val="10"/>
        <color rgb="FF000000"/>
        <rFont val="Times New Roman"/>
        <family val="1"/>
      </rPr>
      <t>m</t>
    </r>
    <r>
      <rPr>
        <b/>
        <sz val="10"/>
        <color rgb="FF000000"/>
        <rFont val="Times New Roman"/>
        <family val="1"/>
      </rPr>
      <t xml:space="preserve"> </t>
    </r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</si>
  <si>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vertAlign val="subscript"/>
        <sz val="10"/>
        <color rgb="FF000000"/>
        <rFont val="Times New Roman"/>
        <family val="1"/>
      </rPr>
      <t>c</t>
    </r>
    <r>
      <rPr>
        <b/>
        <sz val="10"/>
        <color rgb="FF000000"/>
        <rFont val="Times New Roman"/>
        <family val="1"/>
      </rPr>
      <t xml:space="preserve"> </t>
    </r>
  </si>
  <si>
    <t>Mode+Phonology Models: Intercepts by Level of Mode</t>
  </si>
  <si>
    <t>Mode-only Models: Intercepts by Level of Mode</t>
  </si>
  <si>
    <t>Mode+Phonology Models: Intercepts by Level of acc_phon</t>
  </si>
  <si>
    <t>Mode+Phonology Models: Pairwise Comparison of Slopes by Level of acc_phon</t>
  </si>
  <si>
    <t>Mode+Phonology Models: Pairwise Comparison of Slopes by Level of Mode</t>
  </si>
  <si>
    <t>Mode-only Models: Pairwise Comparison of Slopes by Level of Mode</t>
  </si>
  <si>
    <r>
      <t>Mode-only Models: r</t>
    </r>
    <r>
      <rPr>
        <b/>
        <vertAlign val="superscript"/>
        <sz val="16"/>
        <color theme="1"/>
        <rFont val="Arial"/>
        <family val="2"/>
      </rPr>
      <t>2</t>
    </r>
  </si>
  <si>
    <r>
      <t>Mode+Phon Models: r</t>
    </r>
    <r>
      <rPr>
        <b/>
        <vertAlign val="superscript"/>
        <sz val="16"/>
        <color theme="1"/>
        <rFont val="Arial"/>
        <family val="2"/>
      </rPr>
      <t>2</t>
    </r>
  </si>
  <si>
    <t>CI Delta</t>
  </si>
  <si>
    <t>full phon</t>
  </si>
  <si>
    <t>L*H, ^[L*]H</t>
  </si>
  <si>
    <t>L*H, L*^[H]</t>
  </si>
  <si>
    <t>L*H, ^[L*H]</t>
  </si>
  <si>
    <t>^[L]*H, L*^[H]</t>
  </si>
  <si>
    <t>^[L]*H, ^[L*H]</t>
  </si>
  <si>
    <t>L*^[H], ^[L*H]</t>
  </si>
  <si>
    <t>stdev</t>
  </si>
  <si>
    <t>mean</t>
  </si>
  <si>
    <t xml:space="preserve"> mean</t>
  </si>
  <si>
    <t>variance</t>
  </si>
  <si>
    <t>SD_diff</t>
  </si>
  <si>
    <t>var_diff</t>
  </si>
  <si>
    <t>SD diff</t>
  </si>
  <si>
    <t>mean diff</t>
  </si>
  <si>
    <t>with-phon</t>
  </si>
  <si>
    <t>change</t>
  </si>
  <si>
    <t>mean_diff</t>
  </si>
  <si>
    <t>b0 means</t>
  </si>
  <si>
    <t>b1 means</t>
  </si>
  <si>
    <t>mean f0 (ST re 1 Hz)</t>
  </si>
  <si>
    <t>slope (ST/sec)</t>
  </si>
  <si>
    <r>
      <t>Change in r</t>
    </r>
    <r>
      <rPr>
        <b/>
        <vertAlign val="superscript"/>
        <sz val="16"/>
        <color theme="1"/>
        <rFont val="Arial"/>
        <family val="2"/>
      </rPr>
      <t>2</t>
    </r>
  </si>
  <si>
    <t>prop increase</t>
  </si>
  <si>
    <t>mode-and-phon</t>
  </si>
  <si>
    <t>mode-only model</t>
  </si>
  <si>
    <t>mode-and-phon model</t>
  </si>
  <si>
    <t>ave slope (mode-and-phon)</t>
  </si>
  <si>
    <t>ave  mean f0 (mode-and-phon)</t>
  </si>
  <si>
    <t>ave slope (mode only)</t>
  </si>
  <si>
    <t>ave  mean f0 (mode-only)</t>
  </si>
  <si>
    <t>MDC (mode-and-phon)</t>
  </si>
  <si>
    <t>MWH (mode-and-phon)</t>
  </si>
  <si>
    <t>MYN (mode-and-phon)</t>
  </si>
  <si>
    <t>MDQ (mode-and-phon)</t>
  </si>
  <si>
    <t>MDC (mode-only)</t>
  </si>
  <si>
    <t>MWH (mode-only)</t>
  </si>
  <si>
    <t>MYN (mode-only)</t>
  </si>
  <si>
    <t>MDQ (mode-only)</t>
  </si>
  <si>
    <t>std dev.</t>
  </si>
  <si>
    <t>est diff bt models</t>
  </si>
  <si>
    <t>mode-&amp;-phon</t>
  </si>
  <si>
    <t>F</t>
  </si>
  <si>
    <t>M</t>
  </si>
  <si>
    <t>var diff</t>
  </si>
  <si>
    <t>ST</t>
  </si>
  <si>
    <t>ST/s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</si>
</sst>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E+00"/>
    <numFmt numFmtId="168" formatCode="0E+00"/>
  </numFmts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  <font>
      <vertAlign val="subscript"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2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20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vertAlign val="subscript"/>
      <sz val="20"/>
      <color theme="1"/>
      <name val="Calibri Light"/>
      <family val="2"/>
      <scheme val="major"/>
    </font>
    <font>
      <b/>
      <vertAlign val="superscript"/>
      <sz val="9"/>
      <color rgb="FF000000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  <font>
      <sz val="8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6"/>
      <color theme="1"/>
      <name val="Arial"/>
      <family val="2"/>
    </font>
    <font>
      <b/>
      <vertAlign val="superscript"/>
      <sz val="16"/>
      <color theme="1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theme="2" tint="-0.249977111117893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 style="thick">
        <color theme="2" tint="-9.985656300546282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 style="thin">
        <color theme="2" tint="-9.982604449598681E-2"/>
      </bottom>
      <diagonal/>
    </border>
    <border>
      <left/>
      <right/>
      <top style="thick">
        <color theme="2" tint="-9.9917600024414813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 style="thin">
        <color theme="2" tint="-9.9887081514938816E-2"/>
      </bottom>
      <diagonal/>
    </border>
    <border>
      <left/>
      <right/>
      <top/>
      <bottom style="medium">
        <color rgb="FFD0CECE"/>
      </bottom>
      <diagonal/>
    </border>
    <border>
      <left/>
      <right/>
      <top style="thick">
        <color rgb="FFD0CECE"/>
      </top>
      <bottom style="thick">
        <color rgb="FFD0CECE"/>
      </bottom>
      <diagonal/>
    </border>
    <border>
      <left/>
      <right/>
      <top style="thick">
        <color theme="2" tint="-9.9917600024414813E-2"/>
      </top>
      <bottom/>
      <diagonal/>
    </border>
    <border>
      <left/>
      <right/>
      <top/>
      <bottom style="thin">
        <color theme="2"/>
      </bottom>
      <diagonal/>
    </border>
    <border>
      <left/>
      <right/>
      <top style="thick">
        <color theme="2" tint="-9.985656300546282E-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medium">
        <color theme="2"/>
      </bottom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281">
    <xf numFmtId="0" fontId="0" fillId="0" borderId="0" xfId="0"/>
    <xf numFmtId="1" fontId="3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0" fontId="0" fillId="0" borderId="0" xfId="0" applyAlignment="1">
      <alignment vertical="center"/>
    </xf>
    <xf numFmtId="1" fontId="0" fillId="0" borderId="4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right" vertical="center" wrapText="1"/>
    </xf>
    <xf numFmtId="1" fontId="4" fillId="0" borderId="3" xfId="0" applyNumberFormat="1" applyFont="1" applyBorder="1" applyAlignment="1">
      <alignment horizontal="right" vertical="center" wrapText="1"/>
    </xf>
    <xf numFmtId="164" fontId="4" fillId="0" borderId="3" xfId="0" applyNumberFormat="1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" fontId="4" fillId="0" borderId="0" xfId="0" applyNumberFormat="1" applyFont="1" applyAlignment="1">
      <alignment horizontal="right" vertical="center" wrapText="1"/>
    </xf>
    <xf numFmtId="164" fontId="4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0" fillId="0" borderId="3" xfId="0" applyNumberFormat="1" applyBorder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1" fontId="2" fillId="0" borderId="0" xfId="0" applyNumberFormat="1" applyFont="1" applyAlignment="1">
      <alignment horizontal="right" vertical="center"/>
    </xf>
    <xf numFmtId="1" fontId="4" fillId="0" borderId="2" xfId="0" applyNumberFormat="1" applyFont="1" applyBorder="1" applyAlignment="1">
      <alignment horizontal="right" vertical="center" wrapText="1"/>
    </xf>
    <xf numFmtId="2" fontId="9" fillId="0" borderId="0" xfId="0" applyNumberFormat="1" applyFont="1" applyAlignment="1">
      <alignment horizontal="right" vertical="center" wrapText="1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2" fontId="9" fillId="0" borderId="0" xfId="0" applyNumberFormat="1" applyFont="1" applyAlignment="1">
      <alignment horizontal="center"/>
    </xf>
    <xf numFmtId="2" fontId="11" fillId="0" borderId="13" xfId="0" applyNumberFormat="1" applyFont="1" applyBorder="1" applyAlignment="1">
      <alignment horizontal="right" vertical="center" wrapText="1"/>
    </xf>
    <xf numFmtId="0" fontId="11" fillId="0" borderId="13" xfId="0" applyFont="1" applyBorder="1" applyAlignment="1">
      <alignment horizontal="right" vertical="center" wrapText="1"/>
    </xf>
    <xf numFmtId="164" fontId="13" fillId="0" borderId="15" xfId="0" applyNumberFormat="1" applyFont="1" applyBorder="1" applyAlignment="1">
      <alignment horizontal="right" vertical="center" wrapText="1"/>
    </xf>
    <xf numFmtId="2" fontId="13" fillId="0" borderId="15" xfId="0" applyNumberFormat="1" applyFont="1" applyBorder="1" applyAlignment="1">
      <alignment horizontal="right" vertical="center" wrapText="1"/>
    </xf>
    <xf numFmtId="167" fontId="13" fillId="0" borderId="15" xfId="0" applyNumberFormat="1" applyFont="1" applyBorder="1" applyAlignment="1">
      <alignment horizontal="right" vertical="center" wrapText="1"/>
    </xf>
    <xf numFmtId="165" fontId="13" fillId="0" borderId="15" xfId="0" applyNumberFormat="1" applyFont="1" applyBorder="1" applyAlignment="1">
      <alignment horizontal="right" vertical="center" wrapText="1"/>
    </xf>
    <xf numFmtId="11" fontId="14" fillId="0" borderId="15" xfId="0" applyNumberFormat="1" applyFont="1" applyBorder="1" applyAlignment="1">
      <alignment horizontal="right" vertical="center" wrapText="1"/>
    </xf>
    <xf numFmtId="164" fontId="13" fillId="0" borderId="16" xfId="0" applyNumberFormat="1" applyFont="1" applyBorder="1" applyAlignment="1">
      <alignment horizontal="right" vertical="center" wrapText="1"/>
    </xf>
    <xf numFmtId="2" fontId="13" fillId="0" borderId="16" xfId="0" applyNumberFormat="1" applyFont="1" applyBorder="1" applyAlignment="1">
      <alignment horizontal="right" vertical="center" wrapText="1"/>
    </xf>
    <xf numFmtId="167" fontId="13" fillId="0" borderId="16" xfId="0" applyNumberFormat="1" applyFont="1" applyBorder="1" applyAlignment="1">
      <alignment horizontal="right" vertical="center" wrapText="1"/>
    </xf>
    <xf numFmtId="165" fontId="13" fillId="0" borderId="16" xfId="0" applyNumberFormat="1" applyFont="1" applyBorder="1" applyAlignment="1">
      <alignment horizontal="right" vertical="center" wrapText="1"/>
    </xf>
    <xf numFmtId="0" fontId="14" fillId="0" borderId="16" xfId="0" applyFont="1" applyBorder="1" applyAlignment="1">
      <alignment horizontal="right" vertical="center" wrapText="1"/>
    </xf>
    <xf numFmtId="1" fontId="13" fillId="0" borderId="16" xfId="0" applyNumberFormat="1" applyFont="1" applyBorder="1" applyAlignment="1">
      <alignment horizontal="right" vertical="center" wrapText="1"/>
    </xf>
    <xf numFmtId="166" fontId="13" fillId="0" borderId="16" xfId="0" applyNumberFormat="1" applyFont="1" applyBorder="1" applyAlignment="1">
      <alignment horizontal="right" vertical="center" wrapText="1"/>
    </xf>
    <xf numFmtId="167" fontId="15" fillId="0" borderId="15" xfId="0" applyNumberFormat="1" applyFont="1" applyBorder="1" applyAlignment="1">
      <alignment horizontal="right" vertical="center" wrapText="1"/>
    </xf>
    <xf numFmtId="167" fontId="15" fillId="0" borderId="16" xfId="0" applyNumberFormat="1" applyFont="1" applyBorder="1" applyAlignment="1">
      <alignment horizontal="right" vertical="center" wrapText="1"/>
    </xf>
    <xf numFmtId="166" fontId="15" fillId="0" borderId="16" xfId="0" applyNumberFormat="1" applyFont="1" applyBorder="1" applyAlignment="1">
      <alignment horizontal="right" vertical="center" wrapText="1"/>
    </xf>
    <xf numFmtId="166" fontId="15" fillId="0" borderId="15" xfId="0" applyNumberFormat="1" applyFont="1" applyBorder="1" applyAlignment="1">
      <alignment horizontal="right" vertical="center" wrapText="1"/>
    </xf>
    <xf numFmtId="2" fontId="11" fillId="0" borderId="9" xfId="0" applyNumberFormat="1" applyFont="1" applyBorder="1" applyAlignment="1">
      <alignment horizontal="right" vertical="center" wrapText="1"/>
    </xf>
    <xf numFmtId="165" fontId="11" fillId="0" borderId="9" xfId="0" applyNumberFormat="1" applyFont="1" applyBorder="1" applyAlignment="1">
      <alignment horizontal="right" vertical="center" wrapText="1"/>
    </xf>
    <xf numFmtId="2" fontId="10" fillId="0" borderId="0" xfId="0" applyNumberFormat="1" applyFont="1" applyAlignment="1">
      <alignment horizontal="right"/>
    </xf>
    <xf numFmtId="164" fontId="13" fillId="0" borderId="17" xfId="0" applyNumberFormat="1" applyFont="1" applyBorder="1" applyAlignment="1">
      <alignment horizontal="right" vertical="center" wrapText="1"/>
    </xf>
    <xf numFmtId="2" fontId="13" fillId="0" borderId="17" xfId="0" applyNumberFormat="1" applyFont="1" applyBorder="1" applyAlignment="1">
      <alignment horizontal="right" vertical="center" wrapText="1"/>
    </xf>
    <xf numFmtId="165" fontId="13" fillId="0" borderId="17" xfId="0" applyNumberFormat="1" applyFont="1" applyBorder="1" applyAlignment="1">
      <alignment horizontal="right" vertical="center" wrapText="1"/>
    </xf>
    <xf numFmtId="11" fontId="14" fillId="0" borderId="17" xfId="0" applyNumberFormat="1" applyFont="1" applyBorder="1" applyAlignment="1">
      <alignment horizontal="right" vertical="center" wrapText="1"/>
    </xf>
    <xf numFmtId="164" fontId="9" fillId="0" borderId="0" xfId="0" applyNumberFormat="1" applyFont="1" applyAlignment="1">
      <alignment horizontal="right"/>
    </xf>
    <xf numFmtId="164" fontId="13" fillId="0" borderId="18" xfId="0" applyNumberFormat="1" applyFont="1" applyBorder="1" applyAlignment="1">
      <alignment horizontal="right" vertical="center" wrapText="1"/>
    </xf>
    <xf numFmtId="2" fontId="13" fillId="0" borderId="18" xfId="0" applyNumberFormat="1" applyFont="1" applyBorder="1" applyAlignment="1">
      <alignment horizontal="right" vertical="center" wrapText="1"/>
    </xf>
    <xf numFmtId="165" fontId="13" fillId="0" borderId="18" xfId="0" applyNumberFormat="1" applyFont="1" applyBorder="1" applyAlignment="1">
      <alignment horizontal="right" vertical="center" wrapText="1"/>
    </xf>
    <xf numFmtId="11" fontId="14" fillId="0" borderId="18" xfId="0" applyNumberFormat="1" applyFont="1" applyBorder="1" applyAlignment="1">
      <alignment horizontal="right" vertical="center" wrapText="1"/>
    </xf>
    <xf numFmtId="1" fontId="13" fillId="0" borderId="18" xfId="0" applyNumberFormat="1" applyFont="1" applyBorder="1" applyAlignment="1">
      <alignment horizontal="right" vertical="center" wrapText="1"/>
    </xf>
    <xf numFmtId="1" fontId="9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11" fillId="0" borderId="9" xfId="0" applyFont="1" applyBorder="1" applyAlignment="1">
      <alignment horizontal="right" vertical="center" wrapText="1"/>
    </xf>
    <xf numFmtId="2" fontId="9" fillId="0" borderId="0" xfId="0" applyNumberFormat="1" applyFont="1" applyAlignment="1">
      <alignment horizontal="center" vertical="center" wrapText="1"/>
    </xf>
    <xf numFmtId="165" fontId="9" fillId="0" borderId="0" xfId="0" applyNumberFormat="1" applyFont="1" applyAlignment="1">
      <alignment horizontal="center"/>
    </xf>
    <xf numFmtId="164" fontId="11" fillId="0" borderId="9" xfId="0" applyNumberFormat="1" applyFont="1" applyBorder="1" applyAlignment="1">
      <alignment horizontal="right" vertical="center" wrapText="1"/>
    </xf>
    <xf numFmtId="164" fontId="9" fillId="0" borderId="0" xfId="0" applyNumberFormat="1" applyFont="1" applyAlignment="1">
      <alignment horizontal="center"/>
    </xf>
    <xf numFmtId="167" fontId="13" fillId="0" borderId="17" xfId="0" applyNumberFormat="1" applyFont="1" applyBorder="1" applyAlignment="1">
      <alignment horizontal="right" vertical="center" wrapText="1"/>
    </xf>
    <xf numFmtId="167" fontId="13" fillId="0" borderId="18" xfId="0" applyNumberFormat="1" applyFont="1" applyBorder="1" applyAlignment="1">
      <alignment horizontal="right" vertical="center" wrapText="1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 vertical="center" wrapText="1"/>
    </xf>
    <xf numFmtId="11" fontId="14" fillId="0" borderId="0" xfId="0" applyNumberFormat="1" applyFont="1" applyAlignment="1">
      <alignment horizontal="right" vertical="center" wrapText="1"/>
    </xf>
    <xf numFmtId="2" fontId="13" fillId="0" borderId="6" xfId="0" applyNumberFormat="1" applyFont="1" applyBorder="1" applyAlignment="1">
      <alignment horizontal="right" vertical="center" wrapText="1"/>
    </xf>
    <xf numFmtId="1" fontId="13" fillId="0" borderId="6" xfId="0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11" fontId="14" fillId="0" borderId="7" xfId="0" applyNumberFormat="1" applyFont="1" applyBorder="1" applyAlignment="1">
      <alignment horizontal="right" vertical="center" wrapText="1"/>
    </xf>
    <xf numFmtId="167" fontId="13" fillId="0" borderId="7" xfId="0" applyNumberFormat="1" applyFont="1" applyBorder="1" applyAlignment="1">
      <alignment horizontal="right" vertical="center" wrapText="1"/>
    </xf>
    <xf numFmtId="166" fontId="13" fillId="0" borderId="7" xfId="0" applyNumberFormat="1" applyFont="1" applyBorder="1" applyAlignment="1">
      <alignment horizontal="right" vertical="center" wrapText="1"/>
    </xf>
    <xf numFmtId="2" fontId="13" fillId="0" borderId="8" xfId="0" applyNumberFormat="1" applyFont="1" applyBorder="1" applyAlignment="1">
      <alignment horizontal="right" vertical="center" wrapText="1"/>
    </xf>
    <xf numFmtId="1" fontId="13" fillId="0" borderId="8" xfId="0" applyNumberFormat="1" applyFont="1" applyBorder="1" applyAlignment="1">
      <alignment horizontal="right" vertical="center" wrapText="1"/>
    </xf>
    <xf numFmtId="0" fontId="13" fillId="0" borderId="19" xfId="0" applyFont="1" applyBorder="1" applyAlignment="1">
      <alignment horizontal="right" vertical="center" wrapText="1"/>
    </xf>
    <xf numFmtId="2" fontId="13" fillId="0" borderId="5" xfId="0" applyNumberFormat="1" applyFont="1" applyBorder="1" applyAlignment="1">
      <alignment horizontal="right" vertical="center" wrapText="1"/>
    </xf>
    <xf numFmtId="164" fontId="13" fillId="0" borderId="5" xfId="0" applyNumberFormat="1" applyFont="1" applyBorder="1" applyAlignment="1">
      <alignment horizontal="right" vertical="center" wrapText="1"/>
    </xf>
    <xf numFmtId="164" fontId="13" fillId="0" borderId="8" xfId="0" applyNumberFormat="1" applyFont="1" applyBorder="1" applyAlignment="1">
      <alignment horizontal="right" vertical="center" wrapText="1"/>
    </xf>
    <xf numFmtId="0" fontId="11" fillId="0" borderId="20" xfId="0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right" vertical="center" wrapText="1"/>
    </xf>
    <xf numFmtId="1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18" fillId="0" borderId="0" xfId="0" applyFont="1" applyAlignment="1">
      <alignment horizontal="left" vertical="center"/>
    </xf>
    <xf numFmtId="2" fontId="18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64" fontId="0" fillId="0" borderId="2" xfId="0" applyNumberFormat="1" applyBorder="1" applyAlignment="1">
      <alignment horizontal="right" vertical="center"/>
    </xf>
    <xf numFmtId="0" fontId="4" fillId="0" borderId="2" xfId="0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1" fontId="0" fillId="0" borderId="2" xfId="0" applyNumberFormat="1" applyBorder="1" applyAlignment="1">
      <alignment horizontal="left" vertical="center" wrapText="1"/>
    </xf>
    <xf numFmtId="0" fontId="18" fillId="0" borderId="0" xfId="0" applyFont="1" applyAlignment="1">
      <alignment horizontal="right" vertical="center"/>
    </xf>
    <xf numFmtId="1" fontId="19" fillId="0" borderId="0" xfId="0" applyNumberFormat="1" applyFont="1" applyAlignment="1">
      <alignment horizontal="left" vertical="center"/>
    </xf>
    <xf numFmtId="2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1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2" fontId="19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2" fontId="21" fillId="0" borderId="0" xfId="0" applyNumberFormat="1" applyFont="1" applyAlignment="1">
      <alignment horizontal="left" vertical="center"/>
    </xf>
    <xf numFmtId="2" fontId="22" fillId="0" borderId="5" xfId="0" applyNumberFormat="1" applyFont="1" applyBorder="1" applyAlignment="1">
      <alignment horizontal="right" vertical="center" wrapText="1"/>
    </xf>
    <xf numFmtId="166" fontId="22" fillId="0" borderId="12" xfId="0" applyNumberFormat="1" applyFont="1" applyBorder="1" applyAlignment="1">
      <alignment horizontal="right" vertical="center" wrapText="1"/>
    </xf>
    <xf numFmtId="164" fontId="22" fillId="0" borderId="5" xfId="0" applyNumberFormat="1" applyFont="1" applyBorder="1" applyAlignment="1">
      <alignment horizontal="right" vertical="center" wrapText="1"/>
    </xf>
    <xf numFmtId="2" fontId="22" fillId="0" borderId="6" xfId="0" applyNumberFormat="1" applyFont="1" applyBorder="1" applyAlignment="1">
      <alignment horizontal="right" vertical="center" wrapText="1"/>
    </xf>
    <xf numFmtId="166" fontId="22" fillId="0" borderId="11" xfId="0" applyNumberFormat="1" applyFont="1" applyBorder="1" applyAlignment="1">
      <alignment horizontal="right" vertical="center" wrapText="1"/>
    </xf>
    <xf numFmtId="164" fontId="22" fillId="0" borderId="6" xfId="0" applyNumberFormat="1" applyFont="1" applyBorder="1" applyAlignment="1">
      <alignment horizontal="right" vertical="center" wrapText="1"/>
    </xf>
    <xf numFmtId="2" fontId="22" fillId="0" borderId="21" xfId="0" applyNumberFormat="1" applyFont="1" applyBorder="1" applyAlignment="1">
      <alignment horizontal="right" vertical="center" wrapText="1"/>
    </xf>
    <xf numFmtId="166" fontId="22" fillId="0" borderId="21" xfId="0" applyNumberFormat="1" applyFont="1" applyBorder="1" applyAlignment="1">
      <alignment horizontal="right" vertical="center" wrapText="1"/>
    </xf>
    <xf numFmtId="164" fontId="22" fillId="0" borderId="21" xfId="0" applyNumberFormat="1" applyFont="1" applyBorder="1" applyAlignment="1">
      <alignment horizontal="right" vertical="center" wrapText="1"/>
    </xf>
    <xf numFmtId="2" fontId="23" fillId="0" borderId="21" xfId="0" applyNumberFormat="1" applyFont="1" applyBorder="1" applyAlignment="1">
      <alignment horizontal="right" vertical="center" wrapText="1"/>
    </xf>
    <xf numFmtId="165" fontId="23" fillId="0" borderId="21" xfId="0" applyNumberFormat="1" applyFont="1" applyBorder="1" applyAlignment="1">
      <alignment horizontal="right" vertical="center" wrapText="1"/>
    </xf>
    <xf numFmtId="0" fontId="24" fillId="0" borderId="0" xfId="0" applyFont="1" applyAlignment="1">
      <alignment horizontal="left" vertical="center"/>
    </xf>
    <xf numFmtId="2" fontId="24" fillId="0" borderId="0" xfId="0" applyNumberFormat="1" applyFont="1" applyAlignment="1">
      <alignment horizontal="left" vertical="center"/>
    </xf>
    <xf numFmtId="1" fontId="24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164" fontId="25" fillId="0" borderId="0" xfId="0" applyNumberFormat="1" applyFont="1" applyAlignment="1">
      <alignment horizontal="right" vertical="center" wrapText="1"/>
    </xf>
    <xf numFmtId="164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 wrapText="1"/>
    </xf>
    <xf numFmtId="2" fontId="26" fillId="0" borderId="0" xfId="0" applyNumberFormat="1" applyFont="1" applyAlignment="1">
      <alignment horizontal="right" vertical="center" wrapText="1"/>
    </xf>
    <xf numFmtId="164" fontId="27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horizontal="left" vertical="center"/>
    </xf>
    <xf numFmtId="0" fontId="21" fillId="0" borderId="0" xfId="0" applyFont="1"/>
    <xf numFmtId="2" fontId="22" fillId="0" borderId="12" xfId="0" applyNumberFormat="1" applyFont="1" applyBorder="1" applyAlignment="1">
      <alignment horizontal="right" vertical="center" wrapText="1"/>
    </xf>
    <xf numFmtId="2" fontId="22" fillId="0" borderId="11" xfId="0" applyNumberFormat="1" applyFont="1" applyBorder="1" applyAlignment="1">
      <alignment horizontal="right" vertical="center" wrapText="1"/>
    </xf>
    <xf numFmtId="2" fontId="11" fillId="0" borderId="10" xfId="0" applyNumberFormat="1" applyFont="1" applyBorder="1" applyAlignment="1">
      <alignment horizontal="right" vertical="center" wrapText="1"/>
    </xf>
    <xf numFmtId="2" fontId="33" fillId="0" borderId="0" xfId="0" applyNumberFormat="1" applyFont="1" applyAlignment="1">
      <alignment horizontal="right"/>
    </xf>
    <xf numFmtId="164" fontId="34" fillId="0" borderId="0" xfId="0" applyNumberFormat="1" applyFont="1" applyAlignment="1">
      <alignment horizontal="right"/>
    </xf>
    <xf numFmtId="2" fontId="34" fillId="0" borderId="0" xfId="0" applyNumberFormat="1" applyFont="1" applyAlignment="1">
      <alignment horizontal="center"/>
    </xf>
    <xf numFmtId="2" fontId="13" fillId="0" borderId="22" xfId="0" applyNumberFormat="1" applyFont="1" applyBorder="1" applyAlignment="1">
      <alignment horizontal="right" vertical="center" wrapText="1"/>
    </xf>
    <xf numFmtId="164" fontId="13" fillId="0" borderId="22" xfId="0" applyNumberFormat="1" applyFont="1" applyBorder="1" applyAlignment="1">
      <alignment horizontal="right" vertical="center" wrapText="1"/>
    </xf>
    <xf numFmtId="167" fontId="13" fillId="0" borderId="22" xfId="0" applyNumberFormat="1" applyFont="1" applyBorder="1" applyAlignment="1">
      <alignment horizontal="right" vertical="center" wrapText="1"/>
    </xf>
    <xf numFmtId="11" fontId="14" fillId="0" borderId="22" xfId="0" applyNumberFormat="1" applyFont="1" applyBorder="1" applyAlignment="1">
      <alignment horizontal="right" vertical="center" wrapText="1"/>
    </xf>
    <xf numFmtId="164" fontId="13" fillId="0" borderId="24" xfId="0" applyNumberFormat="1" applyFont="1" applyBorder="1" applyAlignment="1">
      <alignment horizontal="right" vertical="center" wrapText="1"/>
    </xf>
    <xf numFmtId="2" fontId="13" fillId="0" borderId="24" xfId="0" applyNumberFormat="1" applyFont="1" applyBorder="1" applyAlignment="1">
      <alignment horizontal="right" vertical="center" wrapText="1"/>
    </xf>
    <xf numFmtId="167" fontId="13" fillId="0" borderId="24" xfId="0" applyNumberFormat="1" applyFont="1" applyBorder="1" applyAlignment="1">
      <alignment horizontal="right" vertical="center" wrapText="1"/>
    </xf>
    <xf numFmtId="11" fontId="14" fillId="0" borderId="24" xfId="0" applyNumberFormat="1" applyFont="1" applyBorder="1" applyAlignment="1">
      <alignment horizontal="right" vertical="center" wrapText="1"/>
    </xf>
    <xf numFmtId="1" fontId="13" fillId="0" borderId="24" xfId="0" applyNumberFormat="1" applyFont="1" applyBorder="1" applyAlignment="1">
      <alignment horizontal="right" vertical="center" wrapText="1"/>
    </xf>
    <xf numFmtId="166" fontId="13" fillId="0" borderId="24" xfId="0" applyNumberFormat="1" applyFont="1" applyBorder="1" applyAlignment="1">
      <alignment horizontal="right" vertical="center" wrapText="1"/>
    </xf>
    <xf numFmtId="2" fontId="11" fillId="0" borderId="25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2" fontId="0" fillId="0" borderId="0" xfId="0" applyNumberFormat="1"/>
    <xf numFmtId="2" fontId="9" fillId="0" borderId="0" xfId="0" applyNumberFormat="1" applyFont="1"/>
    <xf numFmtId="0" fontId="9" fillId="0" borderId="0" xfId="0" applyFont="1"/>
    <xf numFmtId="2" fontId="10" fillId="0" borderId="0" xfId="0" applyNumberFormat="1" applyFont="1" applyAlignment="1">
      <alignment horizontal="center"/>
    </xf>
    <xf numFmtId="164" fontId="13" fillId="0" borderId="7" xfId="0" applyNumberFormat="1" applyFont="1" applyBorder="1" applyAlignment="1">
      <alignment horizontal="right" vertical="center" wrapText="1"/>
    </xf>
    <xf numFmtId="2" fontId="13" fillId="0" borderId="7" xfId="0" applyNumberFormat="1" applyFont="1" applyBorder="1" applyAlignment="1">
      <alignment horizontal="right" vertical="center" wrapText="1"/>
    </xf>
    <xf numFmtId="1" fontId="9" fillId="0" borderId="0" xfId="0" applyNumberFormat="1" applyFont="1" applyAlignment="1">
      <alignment horizontal="center"/>
    </xf>
    <xf numFmtId="164" fontId="13" fillId="0" borderId="12" xfId="0" applyNumberFormat="1" applyFont="1" applyBorder="1" applyAlignment="1">
      <alignment horizontal="right" vertical="center" wrapText="1"/>
    </xf>
    <xf numFmtId="2" fontId="13" fillId="0" borderId="12" xfId="0" applyNumberFormat="1" applyFont="1" applyBorder="1" applyAlignment="1">
      <alignment horizontal="right" vertical="center" wrapText="1"/>
    </xf>
    <xf numFmtId="166" fontId="13" fillId="0" borderId="12" xfId="0" applyNumberFormat="1" applyFont="1" applyBorder="1" applyAlignment="1">
      <alignment horizontal="right" vertical="center" wrapText="1"/>
    </xf>
    <xf numFmtId="1" fontId="13" fillId="0" borderId="7" xfId="0" applyNumberFormat="1" applyFont="1" applyBorder="1" applyAlignment="1">
      <alignment horizontal="right" vertical="center" wrapText="1"/>
    </xf>
    <xf numFmtId="1" fontId="13" fillId="0" borderId="11" xfId="0" applyNumberFormat="1" applyFont="1" applyBorder="1" applyAlignment="1">
      <alignment horizontal="right" vertical="center" wrapText="1"/>
    </xf>
    <xf numFmtId="164" fontId="13" fillId="0" borderId="11" xfId="0" applyNumberFormat="1" applyFont="1" applyBorder="1" applyAlignment="1">
      <alignment horizontal="right" vertical="center" wrapText="1"/>
    </xf>
    <xf numFmtId="2" fontId="13" fillId="0" borderId="11" xfId="0" applyNumberFormat="1" applyFont="1" applyBorder="1" applyAlignment="1">
      <alignment horizontal="right" vertical="center" wrapText="1"/>
    </xf>
    <xf numFmtId="166" fontId="13" fillId="0" borderId="11" xfId="0" applyNumberFormat="1" applyFont="1" applyBorder="1" applyAlignment="1">
      <alignment horizontal="right" vertical="center" wrapText="1"/>
    </xf>
    <xf numFmtId="165" fontId="11" fillId="0" borderId="13" xfId="0" applyNumberFormat="1" applyFont="1" applyBorder="1" applyAlignment="1">
      <alignment horizontal="right" vertical="center" wrapText="1"/>
    </xf>
    <xf numFmtId="166" fontId="15" fillId="0" borderId="7" xfId="0" applyNumberFormat="1" applyFont="1" applyBorder="1" applyAlignment="1">
      <alignment horizontal="right" vertical="center" wrapText="1"/>
    </xf>
    <xf numFmtId="166" fontId="15" fillId="0" borderId="12" xfId="0" applyNumberFormat="1" applyFont="1" applyBorder="1" applyAlignment="1">
      <alignment horizontal="right" vertical="center" wrapText="1"/>
    </xf>
    <xf numFmtId="166" fontId="15" fillId="0" borderId="11" xfId="0" applyNumberFormat="1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0" fontId="14" fillId="0" borderId="11" xfId="0" applyFont="1" applyBorder="1" applyAlignment="1">
      <alignment horizontal="right" vertical="center" wrapText="1"/>
    </xf>
    <xf numFmtId="164" fontId="13" fillId="0" borderId="6" xfId="0" applyNumberFormat="1" applyFont="1" applyBorder="1" applyAlignment="1">
      <alignment horizontal="right" vertical="center" wrapText="1"/>
    </xf>
    <xf numFmtId="166" fontId="13" fillId="0" borderId="0" xfId="0" applyNumberFormat="1" applyFont="1" applyAlignment="1">
      <alignment horizontal="right" vertical="center" wrapText="1"/>
    </xf>
    <xf numFmtId="165" fontId="13" fillId="0" borderId="0" xfId="0" applyNumberFormat="1" applyFont="1" applyAlignment="1">
      <alignment horizontal="right" vertical="center" wrapText="1"/>
    </xf>
    <xf numFmtId="0" fontId="35" fillId="0" borderId="0" xfId="0" applyFont="1" applyAlignment="1">
      <alignment horizontal="left" vertical="center"/>
    </xf>
    <xf numFmtId="1" fontId="35" fillId="0" borderId="0" xfId="0" applyNumberFormat="1" applyFont="1" applyAlignment="1">
      <alignment horizontal="left" vertical="center"/>
    </xf>
    <xf numFmtId="2" fontId="35" fillId="0" borderId="0" xfId="0" applyNumberFormat="1" applyFont="1" applyAlignment="1">
      <alignment horizontal="left" vertical="center"/>
    </xf>
    <xf numFmtId="0" fontId="36" fillId="0" borderId="0" xfId="0" applyFont="1" applyAlignment="1">
      <alignment horizontal="left" vertical="center"/>
    </xf>
    <xf numFmtId="2" fontId="36" fillId="0" borderId="0" xfId="0" applyNumberFormat="1" applyFont="1" applyAlignment="1">
      <alignment horizontal="left" vertical="center"/>
    </xf>
    <xf numFmtId="9" fontId="13" fillId="0" borderId="7" xfId="1" applyFont="1" applyBorder="1" applyAlignment="1">
      <alignment horizontal="right" vertical="center" wrapText="1"/>
    </xf>
    <xf numFmtId="9" fontId="13" fillId="0" borderId="12" xfId="1" applyFont="1" applyBorder="1" applyAlignment="1">
      <alignment horizontal="right" vertical="center" wrapText="1"/>
    </xf>
    <xf numFmtId="9" fontId="13" fillId="0" borderId="11" xfId="1" applyFont="1" applyBorder="1" applyAlignment="1">
      <alignment horizontal="right" vertical="center" wrapText="1"/>
    </xf>
    <xf numFmtId="2" fontId="37" fillId="0" borderId="0" xfId="0" applyNumberFormat="1" applyFont="1" applyAlignment="1">
      <alignment horizontal="left"/>
    </xf>
    <xf numFmtId="0" fontId="37" fillId="0" borderId="0" xfId="0" applyFont="1" applyAlignment="1">
      <alignment horizontal="left"/>
    </xf>
    <xf numFmtId="165" fontId="37" fillId="0" borderId="0" xfId="0" applyNumberFormat="1" applyFont="1" applyAlignment="1">
      <alignment horizontal="center"/>
    </xf>
    <xf numFmtId="2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2" fontId="37" fillId="0" borderId="0" xfId="0" applyNumberFormat="1" applyFont="1" applyAlignment="1">
      <alignment horizontal="right"/>
    </xf>
    <xf numFmtId="0" fontId="37" fillId="0" borderId="0" xfId="0" applyFont="1" applyAlignment="1">
      <alignment horizontal="right"/>
    </xf>
    <xf numFmtId="1" fontId="37" fillId="0" borderId="0" xfId="0" applyNumberFormat="1" applyFont="1" applyAlignment="1">
      <alignment horizontal="left" vertical="center"/>
    </xf>
    <xf numFmtId="2" fontId="37" fillId="0" borderId="0" xfId="0" applyNumberFormat="1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168" fontId="13" fillId="0" borderId="22" xfId="0" applyNumberFormat="1" applyFont="1" applyBorder="1" applyAlignment="1">
      <alignment horizontal="right" vertical="center" wrapText="1"/>
    </xf>
    <xf numFmtId="168" fontId="13" fillId="0" borderId="24" xfId="0" applyNumberFormat="1" applyFont="1" applyBorder="1" applyAlignment="1">
      <alignment horizontal="right" vertical="center" wrapText="1"/>
    </xf>
    <xf numFmtId="164" fontId="23" fillId="0" borderId="21" xfId="0" applyNumberFormat="1" applyFont="1" applyBorder="1" applyAlignment="1">
      <alignment horizontal="right" vertical="center" wrapText="1"/>
    </xf>
    <xf numFmtId="164" fontId="21" fillId="0" borderId="0" xfId="0" applyNumberFormat="1" applyFont="1" applyAlignment="1">
      <alignment horizontal="left" vertical="center"/>
    </xf>
    <xf numFmtId="2" fontId="21" fillId="0" borderId="0" xfId="0" applyNumberFormat="1" applyFont="1"/>
    <xf numFmtId="2" fontId="21" fillId="0" borderId="0" xfId="0" applyNumberFormat="1" applyFont="1" applyAlignment="1">
      <alignment horizontal="right" vertical="center"/>
    </xf>
    <xf numFmtId="165" fontId="22" fillId="0" borderId="21" xfId="0" applyNumberFormat="1" applyFont="1" applyBorder="1" applyAlignment="1">
      <alignment horizontal="right" vertical="center" wrapText="1"/>
    </xf>
    <xf numFmtId="2" fontId="40" fillId="0" borderId="21" xfId="0" applyNumberFormat="1" applyFont="1" applyBorder="1" applyAlignment="1">
      <alignment horizontal="right" vertical="center" wrapText="1"/>
    </xf>
    <xf numFmtId="2" fontId="40" fillId="0" borderId="6" xfId="0" applyNumberFormat="1" applyFont="1" applyBorder="1" applyAlignment="1">
      <alignment horizontal="right" vertical="center" wrapText="1"/>
    </xf>
    <xf numFmtId="0" fontId="41" fillId="0" borderId="0" xfId="0" applyFont="1"/>
    <xf numFmtId="2" fontId="39" fillId="0" borderId="21" xfId="0" applyNumberFormat="1" applyFont="1" applyBorder="1" applyAlignment="1">
      <alignment horizontal="center" vertical="center" wrapText="1"/>
    </xf>
    <xf numFmtId="2" fontId="39" fillId="0" borderId="9" xfId="0" applyNumberFormat="1" applyFont="1" applyBorder="1" applyAlignment="1">
      <alignment horizontal="center" vertical="center" wrapText="1"/>
    </xf>
    <xf numFmtId="164" fontId="39" fillId="0" borderId="21" xfId="0" applyNumberFormat="1" applyFont="1" applyBorder="1" applyAlignment="1">
      <alignment horizontal="center" vertical="center" wrapText="1"/>
    </xf>
    <xf numFmtId="164" fontId="39" fillId="0" borderId="9" xfId="0" applyNumberFormat="1" applyFont="1" applyBorder="1" applyAlignment="1">
      <alignment horizontal="center" vertical="center" wrapText="1"/>
    </xf>
    <xf numFmtId="2" fontId="39" fillId="0" borderId="9" xfId="0" applyNumberFormat="1" applyFont="1" applyBorder="1" applyAlignment="1">
      <alignment vertical="center" wrapText="1"/>
    </xf>
    <xf numFmtId="164" fontId="40" fillId="0" borderId="21" xfId="0" applyNumberFormat="1" applyFont="1" applyBorder="1" applyAlignment="1">
      <alignment horizontal="center" vertical="center" wrapText="1"/>
    </xf>
    <xf numFmtId="164" fontId="40" fillId="0" borderId="6" xfId="0" applyNumberFormat="1" applyFont="1" applyBorder="1" applyAlignment="1">
      <alignment horizontal="center" vertical="center" wrapText="1"/>
    </xf>
    <xf numFmtId="164" fontId="41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right" vertical="center"/>
    </xf>
    <xf numFmtId="2" fontId="13" fillId="0" borderId="15" xfId="1" applyNumberFormat="1" applyFont="1" applyBorder="1" applyAlignment="1">
      <alignment horizontal="right" vertical="center" wrapText="1"/>
    </xf>
    <xf numFmtId="2" fontId="13" fillId="0" borderId="16" xfId="1" applyNumberFormat="1" applyFont="1" applyBorder="1" applyAlignment="1">
      <alignment horizontal="right" vertical="center" wrapText="1"/>
    </xf>
    <xf numFmtId="2" fontId="13" fillId="0" borderId="23" xfId="1" applyNumberFormat="1" applyFont="1" applyBorder="1" applyAlignment="1">
      <alignment horizontal="right" vertical="center" wrapText="1"/>
    </xf>
    <xf numFmtId="2" fontId="13" fillId="0" borderId="24" xfId="1" applyNumberFormat="1" applyFont="1" applyBorder="1" applyAlignment="1">
      <alignment horizontal="right" vertical="center" wrapText="1"/>
    </xf>
    <xf numFmtId="2" fontId="22" fillId="0" borderId="21" xfId="1" applyNumberFormat="1" applyFont="1" applyFill="1" applyBorder="1" applyAlignment="1">
      <alignment horizontal="right" vertical="center" wrapText="1"/>
    </xf>
    <xf numFmtId="164" fontId="39" fillId="0" borderId="10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right" vertical="center"/>
    </xf>
    <xf numFmtId="0" fontId="42" fillId="0" borderId="0" xfId="0" applyFont="1"/>
    <xf numFmtId="164" fontId="43" fillId="0" borderId="9" xfId="0" applyNumberFormat="1" applyFont="1" applyBorder="1" applyAlignment="1">
      <alignment horizontal="center" vertical="center" wrapText="1"/>
    </xf>
    <xf numFmtId="2" fontId="43" fillId="0" borderId="9" xfId="0" applyNumberFormat="1" applyFont="1" applyBorder="1" applyAlignment="1">
      <alignment horizontal="center" vertical="center" wrapText="1"/>
    </xf>
    <xf numFmtId="164" fontId="43" fillId="0" borderId="21" xfId="0" applyNumberFormat="1" applyFont="1" applyBorder="1" applyAlignment="1">
      <alignment horizontal="center" vertical="center" wrapText="1"/>
    </xf>
    <xf numFmtId="2" fontId="43" fillId="0" borderId="21" xfId="0" applyNumberFormat="1" applyFont="1" applyBorder="1" applyAlignment="1">
      <alignment horizontal="center" vertical="center" wrapText="1"/>
    </xf>
    <xf numFmtId="2" fontId="42" fillId="0" borderId="21" xfId="0" applyNumberFormat="1" applyFont="1" applyBorder="1" applyAlignment="1">
      <alignment horizontal="right" vertical="center" wrapText="1"/>
    </xf>
    <xf numFmtId="2" fontId="42" fillId="0" borderId="6" xfId="0" applyNumberFormat="1" applyFont="1" applyBorder="1" applyAlignment="1">
      <alignment horizontal="right" vertical="center" wrapText="1"/>
    </xf>
    <xf numFmtId="0" fontId="44" fillId="0" borderId="0" xfId="0" applyFont="1"/>
    <xf numFmtId="2" fontId="44" fillId="0" borderId="0" xfId="0" applyNumberFormat="1" applyFont="1"/>
    <xf numFmtId="2" fontId="40" fillId="0" borderId="21" xfId="0" applyNumberFormat="1" applyFont="1" applyBorder="1" applyAlignment="1">
      <alignment horizontal="center" vertical="center" wrapText="1"/>
    </xf>
    <xf numFmtId="2" fontId="40" fillId="0" borderId="6" xfId="0" applyNumberFormat="1" applyFont="1" applyBorder="1" applyAlignment="1">
      <alignment horizontal="center" vertical="center" wrapText="1"/>
    </xf>
    <xf numFmtId="2" fontId="42" fillId="0" borderId="21" xfId="0" applyNumberFormat="1" applyFont="1" applyBorder="1" applyAlignment="1">
      <alignment horizontal="center" vertical="center" wrapText="1"/>
    </xf>
    <xf numFmtId="2" fontId="42" fillId="0" borderId="6" xfId="0" applyNumberFormat="1" applyFont="1" applyBorder="1" applyAlignment="1">
      <alignment horizontal="center" vertical="center" wrapText="1"/>
    </xf>
    <xf numFmtId="164" fontId="13" fillId="2" borderId="5" xfId="0" applyNumberFormat="1" applyFont="1" applyFill="1" applyBorder="1" applyAlignment="1">
      <alignment horizontal="right" vertical="center" wrapText="1"/>
    </xf>
    <xf numFmtId="2" fontId="13" fillId="2" borderId="5" xfId="0" applyNumberFormat="1" applyFont="1" applyFill="1" applyBorder="1" applyAlignment="1">
      <alignment horizontal="right" vertical="center" wrapText="1"/>
    </xf>
    <xf numFmtId="165" fontId="13" fillId="2" borderId="7" xfId="0" applyNumberFormat="1" applyFont="1" applyFill="1" applyBorder="1" applyAlignment="1">
      <alignment horizontal="right" vertical="center" wrapText="1"/>
    </xf>
    <xf numFmtId="11" fontId="14" fillId="2" borderId="7" xfId="0" applyNumberFormat="1" applyFont="1" applyFill="1" applyBorder="1" applyAlignment="1">
      <alignment horizontal="right" vertical="center" wrapText="1"/>
    </xf>
    <xf numFmtId="164" fontId="13" fillId="2" borderId="8" xfId="0" applyNumberFormat="1" applyFont="1" applyFill="1" applyBorder="1" applyAlignment="1">
      <alignment horizontal="right" vertical="center" wrapText="1"/>
    </xf>
    <xf numFmtId="2" fontId="13" fillId="2" borderId="8" xfId="0" applyNumberFormat="1" applyFont="1" applyFill="1" applyBorder="1" applyAlignment="1">
      <alignment horizontal="right" vertical="center" wrapText="1"/>
    </xf>
    <xf numFmtId="164" fontId="34" fillId="2" borderId="0" xfId="0" applyNumberFormat="1" applyFont="1" applyFill="1" applyAlignment="1">
      <alignment horizontal="right"/>
    </xf>
    <xf numFmtId="166" fontId="13" fillId="2" borderId="7" xfId="0" applyNumberFormat="1" applyFont="1" applyFill="1" applyBorder="1" applyAlignment="1">
      <alignment horizontal="right" vertical="center" wrapText="1"/>
    </xf>
    <xf numFmtId="164" fontId="13" fillId="3" borderId="8" xfId="0" applyNumberFormat="1" applyFont="1" applyFill="1" applyBorder="1" applyAlignment="1">
      <alignment horizontal="right" vertical="center" wrapText="1"/>
    </xf>
    <xf numFmtId="2" fontId="13" fillId="3" borderId="8" xfId="0" applyNumberFormat="1" applyFont="1" applyFill="1" applyBorder="1" applyAlignment="1">
      <alignment horizontal="right" vertical="center" wrapText="1"/>
    </xf>
    <xf numFmtId="167" fontId="13" fillId="3" borderId="7" xfId="0" applyNumberFormat="1" applyFont="1" applyFill="1" applyBorder="1" applyAlignment="1">
      <alignment horizontal="right" vertical="center" wrapText="1"/>
    </xf>
    <xf numFmtId="11" fontId="14" fillId="3" borderId="7" xfId="0" applyNumberFormat="1" applyFont="1" applyFill="1" applyBorder="1" applyAlignment="1">
      <alignment horizontal="right" vertical="center" wrapText="1"/>
    </xf>
    <xf numFmtId="166" fontId="13" fillId="3" borderId="7" xfId="0" applyNumberFormat="1" applyFont="1" applyFill="1" applyBorder="1" applyAlignment="1">
      <alignment horizontal="right" vertical="center" wrapText="1"/>
    </xf>
    <xf numFmtId="1" fontId="13" fillId="4" borderId="8" xfId="0" applyNumberFormat="1" applyFont="1" applyFill="1" applyBorder="1" applyAlignment="1">
      <alignment horizontal="right" vertical="center" wrapText="1"/>
    </xf>
    <xf numFmtId="1" fontId="13" fillId="4" borderId="6" xfId="0" applyNumberFormat="1" applyFont="1" applyFill="1" applyBorder="1" applyAlignment="1">
      <alignment horizontal="right" vertical="center" wrapText="1"/>
    </xf>
    <xf numFmtId="0" fontId="37" fillId="0" borderId="0" xfId="0" applyFont="1" applyAlignment="1">
      <alignment horizontal="center" vertical="center"/>
    </xf>
    <xf numFmtId="2" fontId="37" fillId="0" borderId="14" xfId="0" applyNumberFormat="1" applyFont="1" applyBorder="1" applyAlignment="1">
      <alignment horizontal="center"/>
    </xf>
    <xf numFmtId="164" fontId="39" fillId="0" borderId="10" xfId="0" applyNumberFormat="1" applyFont="1" applyBorder="1" applyAlignment="1">
      <alignment horizontal="center" vertical="center" wrapText="1"/>
    </xf>
    <xf numFmtId="2" fontId="39" fillId="0" borderId="10" xfId="0" applyNumberFormat="1" applyFont="1" applyBorder="1" applyAlignment="1">
      <alignment horizontal="center" vertical="center" wrapText="1"/>
    </xf>
    <xf numFmtId="2" fontId="39" fillId="0" borderId="9" xfId="0" applyNumberFormat="1" applyFont="1" applyBorder="1" applyAlignment="1">
      <alignment horizontal="center" vertical="center" wrapText="1"/>
    </xf>
    <xf numFmtId="2" fontId="43" fillId="0" borderId="9" xfId="0" applyNumberFormat="1" applyFont="1" applyBorder="1" applyAlignment="1">
      <alignment horizontal="center" vertical="center" wrapText="1"/>
    </xf>
    <xf numFmtId="164" fontId="39" fillId="0" borderId="9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165" fontId="45" fillId="0" borderId="21" xfId="0" applyNumberFormat="1" applyFont="1" applyBorder="1" applyAlignment="1">
      <alignment horizontal="right" vertical="center" wrapText="1"/>
    </xf>
    <xf numFmtId="11" fontId="46" fillId="0" borderId="21" xfId="0" applyNumberFormat="1" applyFont="1" applyBorder="1" applyAlignment="1">
      <alignment horizontal="right" vertical="center" wrapText="1"/>
    </xf>
    <xf numFmtId="11" fontId="46" fillId="0" borderId="11" xfId="0" applyNumberFormat="1" applyFont="1" applyBorder="1" applyAlignment="1">
      <alignment horizontal="right" vertical="center" wrapText="1"/>
    </xf>
    <xf numFmtId="11" fontId="46" fillId="0" borderId="12" xfId="0" applyNumberFormat="1" applyFont="1" applyBorder="1" applyAlignment="1">
      <alignment horizontal="right" vertical="center" wrapText="1"/>
    </xf>
    <xf numFmtId="0" fontId="25" fillId="0" borderId="0" xfId="0" applyFont="1" applyAlignment="1">
      <alignment horizontal="right" vertical="center"/>
    </xf>
    <xf numFmtId="0" fontId="25" fillId="0" borderId="0" xfId="0" applyFont="1" applyAlignment="1">
      <alignment horizontal="left" vertical="center"/>
    </xf>
    <xf numFmtId="2" fontId="45" fillId="0" borderId="21" xfId="0" applyNumberFormat="1" applyFont="1" applyBorder="1" applyAlignment="1">
      <alignment horizontal="right" vertical="center" wrapText="1"/>
    </xf>
    <xf numFmtId="166" fontId="46" fillId="0" borderId="21" xfId="0" applyNumberFormat="1" applyFont="1" applyBorder="1" applyAlignment="1">
      <alignment horizontal="right" vertical="center" wrapText="1"/>
    </xf>
    <xf numFmtId="166" fontId="46" fillId="0" borderId="11" xfId="0" applyNumberFormat="1" applyFont="1" applyBorder="1" applyAlignment="1">
      <alignment horizontal="right" vertical="center" wrapText="1"/>
    </xf>
    <xf numFmtId="166" fontId="46" fillId="0" borderId="12" xfId="0" applyNumberFormat="1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horizontal="right" vertical="center" wrapText="1"/>
    </xf>
    <xf numFmtId="165" fontId="22" fillId="0" borderId="12" xfId="0" applyNumberFormat="1" applyFont="1" applyBorder="1" applyAlignment="1">
      <alignment horizontal="right" vertical="center" wrapText="1"/>
    </xf>
    <xf numFmtId="0" fontId="21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367"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/>
        <i val="0"/>
        <color rgb="FF00B050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397C5"/>
      <color rgb="FFE66101"/>
      <color rgb="FF7570B3"/>
      <color rgb="FF1B9E77"/>
      <color rgb="FFE7298A"/>
      <color rgb="FFB5B0F3"/>
      <color rgb="FFFEA96A"/>
      <color rgb="FF82EACA"/>
      <color rgb="FF70C6AB"/>
      <color rgb="FFFE9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33.xml"/><Relationship Id="rId55" Type="http://schemas.openxmlformats.org/officeDocument/2006/relationships/externalLink" Target="externalLinks/externalLink38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2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23.xml"/><Relationship Id="rId45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36.xml"/><Relationship Id="rId58" Type="http://schemas.openxmlformats.org/officeDocument/2006/relationships/externalLink" Target="externalLinks/externalLink41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externalLink" Target="externalLinks/externalLink2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3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29.xml"/><Relationship Id="rId59" Type="http://schemas.openxmlformats.org/officeDocument/2006/relationships/externalLink" Target="externalLinks/externalLink42.xml"/><Relationship Id="rId20" Type="http://schemas.openxmlformats.org/officeDocument/2006/relationships/externalLink" Target="externalLinks/externalLink3.xml"/><Relationship Id="rId41" Type="http://schemas.openxmlformats.org/officeDocument/2006/relationships/externalLink" Target="externalLinks/externalLink24.xml"/><Relationship Id="rId54" Type="http://schemas.openxmlformats.org/officeDocument/2006/relationships/externalLink" Target="externalLinks/externalLink37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49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40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4.xml"/><Relationship Id="rId44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35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l_t</c:v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A46-4068-B2F5-35FD75829F16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A46-4068-B2F5-35FD75829F16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A46-4068-B2F5-35FD75829F16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plus>
            <c:min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'mode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46-4068-B2F5-35FD75829F16}"/>
            </c:ext>
          </c:extLst>
        </c:ser>
        <c:ser>
          <c:idx val="2"/>
          <c:order val="1"/>
          <c:tx>
            <c:v>h_t</c:v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46-4068-B2F5-35FD75829F16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A46-4068-B2F5-35FD75829F16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46-4068-B2F5-35FD75829F16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plus>
            <c:min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46-4068-B2F5-35FD7582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7B0-40C0-AEF7-ECB2C79FAE9C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7B0-40C0-AEF7-ECB2C79FAE9C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7B0-40C0-AEF7-ECB2C79FAE9C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7B0-40C0-AEF7-ECB2C79FAE9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B0'!$B$25:$B$28</c:f>
              <c:numCache>
                <c:formatCode>0</c:formatCode>
                <c:ptCount val="4"/>
                <c:pt idx="0">
                  <c:v>67.408000000000001</c:v>
                </c:pt>
                <c:pt idx="1">
                  <c:v>67.731999999999999</c:v>
                </c:pt>
                <c:pt idx="2">
                  <c:v>69.475999999999999</c:v>
                </c:pt>
                <c:pt idx="3">
                  <c:v>47.040999999999997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37B0-40C0-AEF7-ECB2C79FAE9C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7B0-40C0-AEF7-ECB2C79FAE9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7B0-40C0-AEF7-ECB2C79FAE9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7B0-40C0-AEF7-ECB2C79FAE9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7B0-40C0-AEF7-ECB2C79FAE9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B0'!$B$36:$B$39</c:f>
              <c:numCache>
                <c:formatCode>0</c:formatCode>
                <c:ptCount val="4"/>
                <c:pt idx="0">
                  <c:v>268.214</c:v>
                </c:pt>
                <c:pt idx="1">
                  <c:v>267.76299999999998</c:v>
                </c:pt>
                <c:pt idx="2">
                  <c:v>268.13499999999999</c:v>
                </c:pt>
                <c:pt idx="3">
                  <c:v>252.32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B0'!$B$40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B0'!$B$41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B0'!$B$42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B0'!$B$43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37B0-40C0-AEF7-ECB2C79F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E-48D0-95DC-A24B103A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0.1033693042399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256-4302-9B3A-366BDE671D37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256-4302-9B3A-366BDE671D37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256-4302-9B3A-366BDE671D37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256-4302-9B3A-366BDE671D37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B0'!$A$58:$A$61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7256-4302-9B3A-366BDE671D37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256-4302-9B3A-366BDE671D37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256-4302-9B3A-366BDE671D37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256-4302-9B3A-366BDE671D37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7256-4302-9B3A-366BDE671D37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B0'!$F$59:$F$62</c:f>
                <c:numCache>
                  <c:formatCode>General</c:formatCode>
                  <c:ptCount val="4"/>
                  <c:pt idx="0">
                    <c:v>4.0375767730186993</c:v>
                  </c:pt>
                  <c:pt idx="1">
                    <c:v>4.039742572626011</c:v>
                  </c:pt>
                  <c:pt idx="2">
                    <c:v>4.0433349895845936</c:v>
                  </c:pt>
                  <c:pt idx="3">
                    <c:v>4.0369557022408031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B0'!$F$58:$F$61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4.0375767730186993</c:v>
                  </c:pt>
                  <c:pt idx="2">
                    <c:v>4.039742572626011</c:v>
                  </c:pt>
                  <c:pt idx="3">
                    <c:v>4.0433349895845936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B0'!$A$58:$A$61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B0'!$B$62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B0'!$B$63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B0'!$B$64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B0'!$B$65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7256-4302-9B3A-366BDE671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plus>
            <c:min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B1'!$B$8,'mode RTH B1'!$B$13,'mode RTH B1'!$B$18,'mode RTH B1'!$B$23,'mode RTH B1'!$B$28)</c:f>
              <c:numCache>
                <c:formatCode>0.0</c:formatCode>
                <c:ptCount val="6"/>
                <c:pt idx="0">
                  <c:v>8.5999999999999993E-2</c:v>
                </c:pt>
                <c:pt idx="1">
                  <c:v>1.1879999999999999</c:v>
                </c:pt>
                <c:pt idx="2">
                  <c:v>1.042</c:v>
                </c:pt>
                <c:pt idx="3">
                  <c:v>1.1020000000000001</c:v>
                </c:pt>
                <c:pt idx="4">
                  <c:v>0.95599999999999996</c:v>
                </c:pt>
                <c:pt idx="5">
                  <c:v>-0.14599999999999999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8-4EEC-BAD7-A8535B9E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8.50920220382767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 baseline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RTH B0'!$A$25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B0'!$F$25,'mode RTH B0'!$F$36)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B0'!$F$25,'mode RTH B0'!$F$36)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B0'!$F$47,'mode RTH B0'!$F$58)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plus>
            <c:minus>
              <c:numRef>
                <c:f>('mode RTH B0'!$F$47,'mode RTH B0'!$F$58)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('mode RTH B0'!$B$25,'mode RTH B0'!$B$36)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B0'!$B$47,'mode RTH B0'!$B$58)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B-4A19-A853-3A5A9BC4F949}"/>
            </c:ext>
          </c:extLst>
        </c:ser>
        <c:ser>
          <c:idx val="2"/>
          <c:order val="1"/>
          <c:tx>
            <c:strRef>
              <c:f>'mode RTH B0'!$A$26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B0'!$F$26,'mode RTH B0'!$F$37)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80.439747977717985</c:v>
                  </c:pt>
                </c:numCache>
              </c:numRef>
            </c:plus>
            <c:minus>
              <c:numRef>
                <c:f>('mode RTH B0'!$F$26,'mode RTH B0'!$F$37)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80.439747977717985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B0'!$F$48,'mode RTH B0'!$F$59)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4.0375767730186993</c:v>
                  </c:pt>
                </c:numCache>
              </c:numRef>
            </c:plus>
            <c:minus>
              <c:numRef>
                <c:f>('mode RTH B0'!$F$48,'mode RTH B0'!$F$59)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4.0375767730186993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RTH B0'!$B$26,'mode RTH B0'!$B$37)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B0'!$B$48,'mode RTH B0'!$B$59)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B-4A19-A853-3A5A9BC4F949}"/>
            </c:ext>
          </c:extLst>
        </c:ser>
        <c:ser>
          <c:idx val="3"/>
          <c:order val="2"/>
          <c:tx>
            <c:strRef>
              <c:f>'mode RTH B0'!$A$27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B0'!$F$27,'mode RTH B0'!$F$38)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80.420362544561982</c:v>
                  </c:pt>
                </c:numCache>
              </c:numRef>
            </c:plus>
            <c:minus>
              <c:numRef>
                <c:f>('mode RTH B0'!$F$27,'mode RTH B0'!$F$38)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80.420362544561982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B0'!$F$49,'mode RTH B0'!$F$60)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4.039742572626011</c:v>
                  </c:pt>
                </c:numCache>
              </c:numRef>
            </c:plus>
            <c:minus>
              <c:numRef>
                <c:f>('mode RTH B0'!$F$49,'mode RTH B0'!$F$60)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4.039742572626011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RTH B0'!$B$27,'mode RTH B0'!$B$38)</c:f>
              <c:numCache>
                <c:formatCode>0</c:formatCode>
                <c:ptCount val="2"/>
                <c:pt idx="0">
                  <c:v>69.475999999999999</c:v>
                </c:pt>
                <c:pt idx="1">
                  <c:v>268.13499999999999</c:v>
                </c:pt>
              </c:numCache>
            </c:numRef>
          </c:xVal>
          <c:yVal>
            <c:numRef>
              <c:f>('mode RTH B0'!$B$49,'mode RTH B0'!$B$60)</c:f>
              <c:numCache>
                <c:formatCode>0.0</c:formatCode>
                <c:ptCount val="2"/>
                <c:pt idx="0">
                  <c:v>85.177999999999997</c:v>
                </c:pt>
                <c:pt idx="1">
                  <c:v>91.29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DB-4A19-A853-3A5A9BC4F949}"/>
            </c:ext>
          </c:extLst>
        </c:ser>
        <c:ser>
          <c:idx val="0"/>
          <c:order val="3"/>
          <c:tx>
            <c:strRef>
              <c:f>'mode RTH B0'!$A$28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B0'!$F$28,'mode RTH B0'!$F$39)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80.373684580864989</c:v>
                  </c:pt>
                </c:numCache>
              </c:numRef>
            </c:plus>
            <c:minus>
              <c:numRef>
                <c:f>('mode RTH B0'!$F$28,'mode RTH B0'!$F$39)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80.373684580864989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B0'!$F$50,'mode RTH B0'!$F$61)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4.0433349895845936</c:v>
                  </c:pt>
                </c:numCache>
              </c:numRef>
            </c:plus>
            <c:minus>
              <c:numRef>
                <c:f>('mode RTH B0'!$F$50,'mode RTH B0'!$F$61)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4.0433349895845936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RTH B0'!$B$28,'mode RTH B0'!$B$39)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</c:numRef>
          </c:xVal>
          <c:yVal>
            <c:numRef>
              <c:f>('mode RTH B0'!$B$50,'mode RTH B0'!$B$61)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DB-4A19-A853-3A5A9BC4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525466461449563"/>
          <c:y val="0.17509190672153635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B0'!$B$29:$B$32</c:f>
              <c:numCache>
                <c:formatCode>0</c:formatCode>
                <c:ptCount val="4"/>
                <c:pt idx="0">
                  <c:v>67.408000000000001</c:v>
                </c:pt>
                <c:pt idx="1">
                  <c:v>81.248999999999995</c:v>
                </c:pt>
                <c:pt idx="2">
                  <c:v>63.344000000000001</c:v>
                </c:pt>
                <c:pt idx="3">
                  <c:v>65.388999999999996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B0'!$B$40:$B$43</c:f>
              <c:numCache>
                <c:formatCode>0</c:formatCode>
                <c:ptCount val="4"/>
                <c:pt idx="0">
                  <c:v>268.214</c:v>
                </c:pt>
                <c:pt idx="1">
                  <c:v>218.333</c:v>
                </c:pt>
                <c:pt idx="2">
                  <c:v>267.35399999999998</c:v>
                </c:pt>
                <c:pt idx="3">
                  <c:v>267.60899999999998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B0'!$B$36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B0'!$B$37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B0'!$B$38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B0'!$B$39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B0'!$B$51:$B$54</c:f>
              <c:numCache>
                <c:formatCode>0.0</c:formatCode>
                <c:ptCount val="4"/>
                <c:pt idx="0">
                  <c:v>83.99</c:v>
                </c:pt>
                <c:pt idx="1">
                  <c:v>86.87</c:v>
                </c:pt>
                <c:pt idx="2">
                  <c:v>84.706999999999994</c:v>
                </c:pt>
                <c:pt idx="3">
                  <c:v>86.724000000000004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B0'!$F$63:$F$65</c:f>
                <c:numCache>
                  <c:formatCode>General</c:formatCode>
                  <c:ptCount val="3"/>
                  <c:pt idx="0">
                    <c:v>4.4272797322259976</c:v>
                  </c:pt>
                  <c:pt idx="1">
                    <c:v>4.0922011479462981</c:v>
                  </c:pt>
                  <c:pt idx="2">
                    <c:v>4.0720122377156969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B0'!$F$62:$F$65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4.4272797322259976</c:v>
                  </c:pt>
                  <c:pt idx="2">
                    <c:v>4.0922011479462981</c:v>
                  </c:pt>
                  <c:pt idx="3">
                    <c:v>4.0720122377156969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B0'!$B$62:$B$65</c:f>
              <c:numCache>
                <c:formatCode>0.0</c:formatCode>
                <c:ptCount val="4"/>
                <c:pt idx="0">
                  <c:v>90.16</c:v>
                </c:pt>
                <c:pt idx="1">
                  <c:v>89.887</c:v>
                </c:pt>
                <c:pt idx="2">
                  <c:v>93.736999999999995</c:v>
                </c:pt>
                <c:pt idx="3">
                  <c:v>93.728999999999999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B0'!$B$58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B0'!$B$59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B0'!$B$60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B0'!$B$61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plus>
            <c:min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1-4741-8C07-47652E064EAE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4.4272797322259976</c:v>
                  </c:pt>
                </c:numCache>
              </c:numRef>
            </c:plus>
            <c:min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4.4272797322259976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plus>
            <c:min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1-4741-8C07-47652E064EAE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4.0922011479462981</c:v>
                  </c:pt>
                </c:numCache>
              </c:numRef>
            </c:plus>
            <c:min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4.0922011479462981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plus>
            <c:min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1-4741-8C07-47652E064EAE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1B1-4741-8C07-47652E064EA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4.0720122377156969</c:v>
                  </c:pt>
                </c:numCache>
              </c:numRef>
            </c:plus>
            <c:min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4.0720122377156969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plus>
            <c:min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B1-4741-8C07-47652E06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plus>
            <c:min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8-48AF-A96A-AF06CA47EC4F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4.4272797322259976</c:v>
                  </c:pt>
                </c:numCache>
              </c:numRef>
            </c:plus>
            <c:min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4.4272797322259976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plus>
            <c:min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8-48AF-A96A-AF06CA47EC4F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4.0922011479462981</c:v>
                  </c:pt>
                </c:numCache>
              </c:numRef>
            </c:plus>
            <c:min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4.0922011479462981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plus>
            <c:min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88-48AF-A96A-AF06CA47EC4F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BD88-48AF-A96A-AF06CA47EC4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4.0720122377156969</c:v>
                  </c:pt>
                </c:numCache>
              </c:numRef>
            </c:plus>
            <c:min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4.0720122377156969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plus>
            <c:min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88-48AF-A96A-AF06CA47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079591321694317"/>
          <c:y val="6.9703305441779662E-2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F0E-4D18-978F-7BCD619A850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F0E-4D18-978F-7BCD619A850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F0E-4D18-978F-7BCD619A850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F0E-4D18-978F-7BCD619A850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B0'!$B$29:$B$32</c:f>
              <c:numCache>
                <c:formatCode>0</c:formatCode>
                <c:ptCount val="4"/>
                <c:pt idx="0">
                  <c:v>67.408000000000001</c:v>
                </c:pt>
                <c:pt idx="1">
                  <c:v>81.248999999999995</c:v>
                </c:pt>
                <c:pt idx="2">
                  <c:v>63.344000000000001</c:v>
                </c:pt>
                <c:pt idx="3">
                  <c:v>65.388999999999996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1F0E-4D18-978F-7BCD619A850B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F0E-4D18-978F-7BCD619A850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F0E-4D18-978F-7BCD619A850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F0E-4D18-978F-7BCD619A850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F0E-4D18-978F-7BCD619A850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B0'!$B$40:$B$43</c:f>
              <c:numCache>
                <c:formatCode>0</c:formatCode>
                <c:ptCount val="4"/>
                <c:pt idx="0">
                  <c:v>268.214</c:v>
                </c:pt>
                <c:pt idx="1">
                  <c:v>218.333</c:v>
                </c:pt>
                <c:pt idx="2">
                  <c:v>267.35399999999998</c:v>
                </c:pt>
                <c:pt idx="3">
                  <c:v>267.60899999999998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B0'!$B$36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B0'!$B$37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B0'!$B$38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B0'!$B$39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1F0E-4D18-978F-7BCD619A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B1'!$A$5</c:f>
              <c:strCache>
                <c:ptCount val="1"/>
                <c:pt idx="0">
                  <c:v>l_t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B1'!$K$4,'mode B1'!$K$10,'mode B1'!$K$15,'mode B1'!$K$20,'mode B1'!$K$25,'mode B1'!$K$30)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plus>
            <c:minus>
              <c:numRef>
                <c:f>('mode B1'!$K$4,'mode B1'!$K$10,'mode B1'!$K$15,'mode B1'!$K$20,'mode B1'!$K$25,'mode B1'!$K$30)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0.40400000000000003</c:v>
                </c:pt>
                <c:pt idx="1">
                  <c:v>-2.2949999999999999</c:v>
                </c:pt>
                <c:pt idx="2">
                  <c:v>-21.047999999999998</c:v>
                </c:pt>
                <c:pt idx="3">
                  <c:v>-2.6989999999999998</c:v>
                </c:pt>
                <c:pt idx="4">
                  <c:v>-21.452000000000002</c:v>
                </c:pt>
                <c:pt idx="5">
                  <c:v>-18.753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5-4513-AED9-CAC63502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455-443E-9257-96C30CD0BD9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455-443E-9257-96C30CD0BD9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455-443E-9257-96C30CD0BD9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455-443E-9257-96C30CD0BD9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B0'!$B$51:$B$54</c:f>
              <c:numCache>
                <c:formatCode>0.0</c:formatCode>
                <c:ptCount val="4"/>
                <c:pt idx="0">
                  <c:v>83.99</c:v>
                </c:pt>
                <c:pt idx="1">
                  <c:v>86.87</c:v>
                </c:pt>
                <c:pt idx="2">
                  <c:v>84.706999999999994</c:v>
                </c:pt>
                <c:pt idx="3">
                  <c:v>86.724000000000004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F455-443E-9257-96C30CD0BD9B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F455-443E-9257-96C30CD0BD9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F455-443E-9257-96C30CD0BD9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F455-443E-9257-96C30CD0BD9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F455-443E-9257-96C30CD0BD9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B0'!$F$63:$F$65</c:f>
                <c:numCache>
                  <c:formatCode>General</c:formatCode>
                  <c:ptCount val="3"/>
                  <c:pt idx="0">
                    <c:v>4.4272797322259976</c:v>
                  </c:pt>
                  <c:pt idx="1">
                    <c:v>4.0922011479462981</c:v>
                  </c:pt>
                  <c:pt idx="2">
                    <c:v>4.0720122377156969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B0'!$F$62:$F$65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4.4272797322259976</c:v>
                  </c:pt>
                  <c:pt idx="2">
                    <c:v>4.0922011479462981</c:v>
                  </c:pt>
                  <c:pt idx="3">
                    <c:v>4.0720122377156969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B0'!$B$62:$B$65</c:f>
              <c:numCache>
                <c:formatCode>0.0</c:formatCode>
                <c:ptCount val="4"/>
                <c:pt idx="0">
                  <c:v>90.16</c:v>
                </c:pt>
                <c:pt idx="1">
                  <c:v>89.887</c:v>
                </c:pt>
                <c:pt idx="2">
                  <c:v>93.736999999999995</c:v>
                </c:pt>
                <c:pt idx="3">
                  <c:v>93.728999999999999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B0'!$B$58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B0'!$B$59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B0'!$B$60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B0'!$B$61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F455-443E-9257-96C30CD0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B1'!$A$5</c:f>
              <c:strCache>
                <c:ptCount val="1"/>
                <c:pt idx="0">
                  <c:v>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29B-45B6-9011-5C8BAB2B0E37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29B-45B6-9011-5C8BAB2B0E3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B1'!$K$5,'PA B1'!$K$10,'PA B1'!$K$15,'PA B1'!$K$20,'PA B1'!$K$25,'PA B1'!$K$30)</c:f>
                <c:numCache>
                  <c:formatCode>General</c:formatCode>
                  <c:ptCount val="6"/>
                  <c:pt idx="0">
                    <c:v>21.570676101643631</c:v>
                  </c:pt>
                  <c:pt idx="1">
                    <c:v>8.5797494005662998</c:v>
                  </c:pt>
                  <c:pt idx="2">
                    <c:v>6.6801730733742595</c:v>
                  </c:pt>
                  <c:pt idx="3">
                    <c:v>22.268241334541202</c:v>
                  </c:pt>
                  <c:pt idx="4">
                    <c:v>21.276151826048501</c:v>
                  </c:pt>
                  <c:pt idx="5">
                    <c:v>8.5237959443461904</c:v>
                  </c:pt>
                </c:numCache>
              </c:numRef>
            </c:plus>
            <c:minus>
              <c:numRef>
                <c:f>('PA B1'!$K$5,'PA B1'!$K$10,'PA B1'!$K$15,'PA B1'!$K$20,'PA B1'!$K$25,'PA B1'!$K$30)</c:f>
                <c:numCache>
                  <c:formatCode>General</c:formatCode>
                  <c:ptCount val="6"/>
                  <c:pt idx="0">
                    <c:v>21.570676101643631</c:v>
                  </c:pt>
                  <c:pt idx="1">
                    <c:v>8.5797494005662998</c:v>
                  </c:pt>
                  <c:pt idx="2">
                    <c:v>6.6801730733742595</c:v>
                  </c:pt>
                  <c:pt idx="3">
                    <c:v>22.268241334541202</c:v>
                  </c:pt>
                  <c:pt idx="4">
                    <c:v>21.276151826048501</c:v>
                  </c:pt>
                  <c:pt idx="5">
                    <c:v>8.5237959443461904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B1'!$B$5,'PA B1'!$B$10,'PA B1'!$B$15,'PA B1'!$B$20,'PA B1'!$B$25,'PA B1'!$B$30)</c:f>
              <c:numCache>
                <c:formatCode>0</c:formatCode>
                <c:ptCount val="6"/>
                <c:pt idx="0">
                  <c:v>13.842000000000001</c:v>
                </c:pt>
                <c:pt idx="1">
                  <c:v>-4.0629999999999997</c:v>
                </c:pt>
                <c:pt idx="2">
                  <c:v>-2.0190000000000001</c:v>
                </c:pt>
                <c:pt idx="3">
                  <c:v>-17.905000000000001</c:v>
                </c:pt>
                <c:pt idx="4">
                  <c:v>-15.861000000000001</c:v>
                </c:pt>
                <c:pt idx="5">
                  <c:v>2.044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B-45B6-9011-5C8BAB2B0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B1'!$A$6</c:f>
              <c:strCache>
                <c:ptCount val="1"/>
                <c:pt idx="0">
                  <c:v>H_Time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E6-4B2B-8BE1-89289FC7E420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2E6-4B2B-8BE1-89289FC7E420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B1'!$K$6,'PA B1'!$K$11,'PA B1'!$K$16,'PA B1'!$K$21,'PA B1'!$K$26,'PA B1'!$K$31)</c:f>
                <c:numCache>
                  <c:formatCode>General</c:formatCode>
                  <c:ptCount val="6"/>
                  <c:pt idx="0">
                    <c:v>32.162816438502709</c:v>
                  </c:pt>
                  <c:pt idx="1">
                    <c:v>12.759247893170199</c:v>
                  </c:pt>
                  <c:pt idx="2">
                    <c:v>9.9386245220245009</c:v>
                  </c:pt>
                  <c:pt idx="3">
                    <c:v>33.183965310228103</c:v>
                  </c:pt>
                  <c:pt idx="4">
                    <c:v>31.699363540308102</c:v>
                  </c:pt>
                  <c:pt idx="5">
                    <c:v>12.685447450321801</c:v>
                  </c:pt>
                </c:numCache>
              </c:numRef>
            </c:plus>
            <c:minus>
              <c:numRef>
                <c:f>('PA B1'!$K$6,'PA B1'!$K$11,'PA B1'!$K$16,'PA B1'!$K$21,'PA B1'!$K$26,'PA B1'!$K$31)</c:f>
                <c:numCache>
                  <c:formatCode>General</c:formatCode>
                  <c:ptCount val="6"/>
                  <c:pt idx="0">
                    <c:v>32.162816438502709</c:v>
                  </c:pt>
                  <c:pt idx="1">
                    <c:v>12.759247893170199</c:v>
                  </c:pt>
                  <c:pt idx="2">
                    <c:v>9.9386245220245009</c:v>
                  </c:pt>
                  <c:pt idx="3">
                    <c:v>33.183965310228103</c:v>
                  </c:pt>
                  <c:pt idx="4">
                    <c:v>31.699363540308102</c:v>
                  </c:pt>
                  <c:pt idx="5">
                    <c:v>12.685447450321801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B1'!$B$6,'PA B1'!$B$11,'PA B1'!$B$16,'PA B1'!$B$21,'PA B1'!$B$26,'PA B1'!$B$31)</c:f>
              <c:numCache>
                <c:formatCode>0</c:formatCode>
                <c:ptCount val="6"/>
                <c:pt idx="0">
                  <c:v>-49.881999999999998</c:v>
                </c:pt>
                <c:pt idx="1">
                  <c:v>-0.86099999999999999</c:v>
                </c:pt>
                <c:pt idx="2">
                  <c:v>-0.60599999999999998</c:v>
                </c:pt>
                <c:pt idx="3">
                  <c:v>49.021000000000001</c:v>
                </c:pt>
                <c:pt idx="4">
                  <c:v>49.276000000000003</c:v>
                </c:pt>
                <c:pt idx="5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6-4B2B-8BE1-89289FC7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90-49EB-8FF9-6313E74B75B8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390-49EB-8FF9-6313E74B75B8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B1'!$K$3,'PA B1'!$K$8,'PA B1'!$K$13,'PA B1'!$K$18,'PA B1'!$K$23,'PA B1'!$K$28)</c:f>
                <c:numCache>
                  <c:formatCode>General</c:formatCode>
                  <c:ptCount val="6"/>
                  <c:pt idx="0">
                    <c:v>1.46564807369772</c:v>
                  </c:pt>
                  <c:pt idx="1">
                    <c:v>0.60618944083636894</c:v>
                  </c:pt>
                  <c:pt idx="2">
                    <c:v>0.46782488029693026</c:v>
                  </c:pt>
                  <c:pt idx="3">
                    <c:v>1.51663704997347</c:v>
                  </c:pt>
                  <c:pt idx="4">
                    <c:v>1.4422615115800499</c:v>
                  </c:pt>
                  <c:pt idx="5">
                    <c:v>0.58556247104927994</c:v>
                  </c:pt>
                </c:numCache>
              </c:numRef>
            </c:plus>
            <c:minus>
              <c:numRef>
                <c:f>('PA B1'!$K$3,'PA B1'!$K$8,'PA B1'!$K$13,'PA B1'!$K$18,'PA B1'!$K$23,'PA B1'!$K$28)</c:f>
                <c:numCache>
                  <c:formatCode>General</c:formatCode>
                  <c:ptCount val="6"/>
                  <c:pt idx="0">
                    <c:v>1.46564807369772</c:v>
                  </c:pt>
                  <c:pt idx="1">
                    <c:v>0.60618944083636894</c:v>
                  </c:pt>
                  <c:pt idx="2">
                    <c:v>0.46782488029693026</c:v>
                  </c:pt>
                  <c:pt idx="3">
                    <c:v>1.51663704997347</c:v>
                  </c:pt>
                  <c:pt idx="4">
                    <c:v>1.4422615115800499</c:v>
                  </c:pt>
                  <c:pt idx="5">
                    <c:v>0.58556247104927994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B1'!$B$3,'PA B1'!$B$8,'PA B1'!$B$13,'PA B1'!$B$18,'PA B1'!$B$23,'PA B1'!$B$28)</c:f>
              <c:numCache>
                <c:formatCode>0.0</c:formatCode>
                <c:ptCount val="6"/>
                <c:pt idx="0">
                  <c:v>2.88</c:v>
                </c:pt>
                <c:pt idx="1">
                  <c:v>0.71599999999999997</c:v>
                </c:pt>
                <c:pt idx="2">
                  <c:v>2.7330000000000001</c:v>
                </c:pt>
                <c:pt idx="3">
                  <c:v>-2.1640000000000001</c:v>
                </c:pt>
                <c:pt idx="4">
                  <c:v>-0.14699999999999999</c:v>
                </c:pt>
                <c:pt idx="5">
                  <c:v>2.0169999999999999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0-49EB-8FF9-6313E74B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406-479F-AB9A-89BD6A132F15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06-479F-AB9A-89BD6A132F15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B1'!$K$4,'PA B1'!$K$9,'PA B1'!$K$14,'PA B1'!$K$19,'PA B1'!$K$24,'PA B1'!$K$29)</c:f>
                <c:numCache>
                  <c:formatCode>General</c:formatCode>
                  <c:ptCount val="6"/>
                  <c:pt idx="0">
                    <c:v>2.1498532091198599</c:v>
                  </c:pt>
                  <c:pt idx="1">
                    <c:v>0.85218636007195014</c:v>
                  </c:pt>
                  <c:pt idx="2">
                    <c:v>0.66520343370217994</c:v>
                  </c:pt>
                  <c:pt idx="3">
                    <c:v>2.2227330495842503</c:v>
                  </c:pt>
                  <c:pt idx="4">
                    <c:v>2.1184323167849</c:v>
                  </c:pt>
                  <c:pt idx="5">
                    <c:v>0.84702073019479296</c:v>
                  </c:pt>
                </c:numCache>
              </c:numRef>
            </c:plus>
            <c:minus>
              <c:numRef>
                <c:f>('PA B1'!$K$4,'PA B1'!$K$9,'PA B1'!$K$14,'PA B1'!$K$19,'PA B1'!$K$24,'PA B1'!$K$29)</c:f>
                <c:numCache>
                  <c:formatCode>General</c:formatCode>
                  <c:ptCount val="6"/>
                  <c:pt idx="0">
                    <c:v>2.1498532091198599</c:v>
                  </c:pt>
                  <c:pt idx="1">
                    <c:v>0.85218636007195014</c:v>
                  </c:pt>
                  <c:pt idx="2">
                    <c:v>0.66520343370217994</c:v>
                  </c:pt>
                  <c:pt idx="3">
                    <c:v>2.2227330495842503</c:v>
                  </c:pt>
                  <c:pt idx="4">
                    <c:v>2.1184323167849</c:v>
                  </c:pt>
                  <c:pt idx="5">
                    <c:v>0.84702073019479296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B1'!$B$4,'PA B1'!$B$9,'PA B1'!$B$14,'PA B1'!$B$19,'PA B1'!$B$24,'PA B1'!$B$29)</c:f>
              <c:numCache>
                <c:formatCode>0.0</c:formatCode>
                <c:ptCount val="6"/>
                <c:pt idx="0">
                  <c:v>-0.27300000000000002</c:v>
                </c:pt>
                <c:pt idx="1">
                  <c:v>3.577</c:v>
                </c:pt>
                <c:pt idx="2">
                  <c:v>3.5680000000000001</c:v>
                </c:pt>
                <c:pt idx="3">
                  <c:v>3.85</c:v>
                </c:pt>
                <c:pt idx="4">
                  <c:v>3.8410000000000002</c:v>
                </c:pt>
                <c:pt idx="5">
                  <c:v>-8.9999999999999993E-3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6-479F-AB9A-89BD6A13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l_t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70F-4ACD-AEA4-DE4E27EEE7D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B1'!$K$10,'PA B1'!$K$15,'PA B1'!$K$30)</c:f>
                <c:numCache>
                  <c:formatCode>General</c:formatCode>
                  <c:ptCount val="3"/>
                  <c:pt idx="0">
                    <c:v>8.5797494005662998</c:v>
                  </c:pt>
                  <c:pt idx="1">
                    <c:v>6.6801730733742595</c:v>
                  </c:pt>
                  <c:pt idx="2">
                    <c:v>8.5237959443461904</c:v>
                  </c:pt>
                </c:numCache>
              </c:numRef>
            </c:plus>
            <c:minus>
              <c:numRef>
                <c:f>('PA B1'!$K$10,'PA B1'!$K$15,'PA B1'!$K$30)</c:f>
                <c:numCache>
                  <c:formatCode>General</c:formatCode>
                  <c:ptCount val="3"/>
                  <c:pt idx="0">
                    <c:v>8.5797494005662998</c:v>
                  </c:pt>
                  <c:pt idx="1">
                    <c:v>6.6801730733742595</c:v>
                  </c:pt>
                  <c:pt idx="2">
                    <c:v>8.5237959443461904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B1'!$B$10,'PA B1'!$B$15,'PA B1'!$B$30)</c:f>
              <c:numCache>
                <c:formatCode>0</c:formatCode>
                <c:ptCount val="3"/>
                <c:pt idx="0">
                  <c:v>-4.0629999999999997</c:v>
                </c:pt>
                <c:pt idx="1">
                  <c:v>-2.0190000000000001</c:v>
                </c:pt>
                <c:pt idx="2">
                  <c:v>2.044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F-4ACD-AEA4-DE4E27EE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0"/>
        <c:minorUnit val="2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h_f0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E9A0-40F2-8441-5C45CEDB453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B1'!$K$9,'PA B1'!$K$14,'PA B1'!$K$29)</c:f>
                <c:numCache>
                  <c:formatCode>General</c:formatCode>
                  <c:ptCount val="3"/>
                  <c:pt idx="0">
                    <c:v>0.85218636007195014</c:v>
                  </c:pt>
                  <c:pt idx="1">
                    <c:v>0.66520343370217994</c:v>
                  </c:pt>
                  <c:pt idx="2">
                    <c:v>0.84702073019479296</c:v>
                  </c:pt>
                </c:numCache>
              </c:numRef>
            </c:plus>
            <c:minus>
              <c:numRef>
                <c:f>('PA B1'!$K$9,'PA B1'!$K$14,'PA B1'!$K$29)</c:f>
                <c:numCache>
                  <c:formatCode>General</c:formatCode>
                  <c:ptCount val="3"/>
                  <c:pt idx="0">
                    <c:v>0.85218636007195014</c:v>
                  </c:pt>
                  <c:pt idx="1">
                    <c:v>0.66520343370217994</c:v>
                  </c:pt>
                  <c:pt idx="2">
                    <c:v>0.84702073019479296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B1'!$B$9,'PA B1'!$B$14,'PA B1'!$B$29)</c:f>
              <c:numCache>
                <c:formatCode>0.0</c:formatCode>
                <c:ptCount val="3"/>
                <c:pt idx="0">
                  <c:v>3.577</c:v>
                </c:pt>
                <c:pt idx="1">
                  <c:v>3.5680000000000001</c:v>
                </c:pt>
                <c:pt idx="2">
                  <c:v>-8.9999999999999993E-3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0-40F2-8441-5C45CEDB4539}"/>
            </c:ext>
          </c:extLst>
        </c:ser>
        <c:ser>
          <c:idx val="1"/>
          <c:order val="1"/>
          <c:tx>
            <c:v>l_f0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('PA B1'!$K$8,'PA B1'!$K$13,'PA B1'!$K$28)</c:f>
                <c:numCache>
                  <c:formatCode>General</c:formatCode>
                  <c:ptCount val="3"/>
                  <c:pt idx="0">
                    <c:v>0.60618944083636894</c:v>
                  </c:pt>
                  <c:pt idx="1">
                    <c:v>0.46782488029693026</c:v>
                  </c:pt>
                  <c:pt idx="2">
                    <c:v>0.58556247104927994</c:v>
                  </c:pt>
                </c:numCache>
              </c:numRef>
            </c:plus>
            <c:minus>
              <c:numRef>
                <c:f>('PA B1'!$K$8,'PA B1'!$K$13,'PA B1'!$K$28)</c:f>
                <c:numCache>
                  <c:formatCode>General</c:formatCode>
                  <c:ptCount val="3"/>
                  <c:pt idx="0">
                    <c:v>0.60618944083636894</c:v>
                  </c:pt>
                  <c:pt idx="1">
                    <c:v>0.46782488029693026</c:v>
                  </c:pt>
                  <c:pt idx="2">
                    <c:v>0.58556247104927994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B1'!$B$8,'PA B1'!$B$13,'PA B1'!$B$28)</c:f>
              <c:numCache>
                <c:formatCode>0.0</c:formatCode>
                <c:ptCount val="3"/>
                <c:pt idx="0">
                  <c:v>0.71599999999999997</c:v>
                </c:pt>
                <c:pt idx="1">
                  <c:v>2.7330000000000001</c:v>
                </c:pt>
                <c:pt idx="2">
                  <c:v>2.0169999999999999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0-40F2-8441-5C45CEDB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3.3006263616557736E-2"/>
              <c:y val="9.9348225851745145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h_t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E5F-49AE-A9E4-366919D60D9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B1'!$K$11,'PA B1'!$K$16,'PA B1'!$K$31)</c:f>
                <c:numCache>
                  <c:formatCode>General</c:formatCode>
                  <c:ptCount val="3"/>
                  <c:pt idx="0">
                    <c:v>12.759247893170199</c:v>
                  </c:pt>
                  <c:pt idx="1">
                    <c:v>9.9386245220245009</c:v>
                  </c:pt>
                  <c:pt idx="2">
                    <c:v>12.685447450321801</c:v>
                  </c:pt>
                </c:numCache>
              </c:numRef>
            </c:plus>
            <c:minus>
              <c:numRef>
                <c:f>('PA B1'!$K$11,'PA B1'!$K$16,'PA B1'!$K$31)</c:f>
                <c:numCache>
                  <c:formatCode>General</c:formatCode>
                  <c:ptCount val="3"/>
                  <c:pt idx="0">
                    <c:v>12.759247893170199</c:v>
                  </c:pt>
                  <c:pt idx="1">
                    <c:v>9.9386245220245009</c:v>
                  </c:pt>
                  <c:pt idx="2">
                    <c:v>12.685447450321801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B1'!$B$11,'PA B1'!$B$16,'PA B1'!$B$31)</c:f>
              <c:numCache>
                <c:formatCode>0</c:formatCode>
                <c:ptCount val="3"/>
                <c:pt idx="0">
                  <c:v>-0.86099999999999999</c:v>
                </c:pt>
                <c:pt idx="1">
                  <c:v>-0.60599999999999998</c:v>
                </c:pt>
                <c:pt idx="2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AE-A9E4-366919D60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0"/>
        <c:minorUnit val="2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alignment estimates (mode-only)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plus>
            <c:min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9-4D29-B1AD-ADA2333ECCCC}"/>
            </c:ext>
          </c:extLst>
        </c:ser>
        <c:ser>
          <c:idx val="2"/>
          <c:order val="1"/>
          <c:tx>
            <c:v>L mode only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plus>
            <c:min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9-4D29-B1AD-ADA2333EC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rgbClr val="E66101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 RTH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80.440398875140005</c:v>
                        </c:pt>
                        <c:pt idx="1">
                          <c:v>80.439747977717985</c:v>
                        </c:pt>
                        <c:pt idx="2">
                          <c:v>80.420362544561982</c:v>
                        </c:pt>
                        <c:pt idx="3">
                          <c:v>80.373684580864989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 RTH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80.440398875140005</c:v>
                        </c:pt>
                        <c:pt idx="1">
                          <c:v>80.439747977717985</c:v>
                        </c:pt>
                        <c:pt idx="2">
                          <c:v>80.420362544561982</c:v>
                        </c:pt>
                        <c:pt idx="3">
                          <c:v>80.373684580864989</c:v>
                        </c:pt>
                      </c:numCache>
                    </c:numRef>
                  </c:minus>
                  <c:spPr>
                    <a:ln w="19050">
                      <a:solidFill>
                        <a:srgbClr val="E66101"/>
                      </a:solidFill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 RTH B0'!$B$36:$B$39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268.214</c:v>
                      </c:pt>
                      <c:pt idx="1">
                        <c:v>267.76299999999998</c:v>
                      </c:pt>
                      <c:pt idx="2">
                        <c:v>268.13499999999999</c:v>
                      </c:pt>
                      <c:pt idx="3">
                        <c:v>252.32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8C9-4D29-B1AD-ADA2333ECCC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>
                    <a:solidFill>
                      <a:srgbClr val="7570B3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B5B0F3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21.501924956829299</c:v>
                        </c:pt>
                        <c:pt idx="1">
                          <c:v>21.502464096134396</c:v>
                        </c:pt>
                        <c:pt idx="2">
                          <c:v>21.550559468490498</c:v>
                        </c:pt>
                        <c:pt idx="3">
                          <c:v>21.659837340050895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21.501924956829299</c:v>
                        </c:pt>
                        <c:pt idx="1">
                          <c:v>21.502464096134396</c:v>
                        </c:pt>
                        <c:pt idx="2">
                          <c:v>21.550559468490498</c:v>
                        </c:pt>
                        <c:pt idx="3">
                          <c:v>21.659837340050895</c:v>
                        </c:pt>
                      </c:numCache>
                    </c:numRef>
                  </c:minus>
                  <c:spPr>
                    <a:ln w="19050">
                      <a:solidFill>
                        <a:srgbClr val="7570B3"/>
                      </a:solidFill>
                    </a:ln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RTH B0'!$B$25:$B$28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67.408000000000001</c:v>
                      </c:pt>
                      <c:pt idx="1">
                        <c:v>67.731999999999999</c:v>
                      </c:pt>
                      <c:pt idx="2">
                        <c:v>69.475999999999999</c:v>
                      </c:pt>
                      <c:pt idx="3">
                        <c:v>47.040999999999997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8C9-4D29-B1AD-ADA2333ECCCC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alignment (ms)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f0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diamond"/>
            <c:size val="10"/>
            <c:spPr>
              <a:solidFill>
                <a:schemeClr val="bg1"/>
              </a:solidFill>
              <a:ln w="19050">
                <a:solidFill>
                  <a:schemeClr val="bg1">
                    <a:lumMod val="50000"/>
                  </a:schemeClr>
                </a:solidFill>
              </a:ln>
            </c:spPr>
          </c:marker>
          <c:dPt>
            <c:idx val="3"/>
            <c:marker>
              <c:symbol val="diamond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00-6A14-4E0A-B5DA-7D3A2DE7CE8F}"/>
              </c:ext>
            </c:extLst>
          </c:dPt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4-4E0A-B5DA-7D3A2DE7CE8F}"/>
            </c:ext>
          </c:extLst>
        </c:ser>
        <c:ser>
          <c:idx val="2"/>
          <c:order val="1"/>
          <c:tx>
            <c:v>L mode only</c:v>
          </c:tx>
          <c:spPr>
            <a:ln w="63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diamond"/>
            <c:size val="11"/>
            <c:spPr>
              <a:solidFill>
                <a:schemeClr val="bg1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4-4E0A-B5DA-7D3A2DE7CE8F}"/>
            </c:ext>
          </c:extLst>
        </c:ser>
        <c:ser>
          <c:idx val="5"/>
          <c:order val="2"/>
          <c:tx>
            <c:v>H mode*phon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B0'!$F$58:$F$61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4.0375767730186993</c:v>
                  </c:pt>
                  <c:pt idx="2">
                    <c:v>4.039742572626011</c:v>
                  </c:pt>
                  <c:pt idx="3">
                    <c:v>4.0433349895845936</c:v>
                  </c:pt>
                </c:numCache>
              </c:numRef>
            </c:plus>
            <c:minus>
              <c:numRef>
                <c:f>'mode RTH B0'!$F$58:$F$61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4.0375767730186993</c:v>
                  </c:pt>
                  <c:pt idx="2">
                    <c:v>4.039742572626011</c:v>
                  </c:pt>
                  <c:pt idx="3">
                    <c:v>4.0433349895845936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14-4E0A-B5DA-7D3A2DE7CE8F}"/>
            </c:ext>
          </c:extLst>
        </c:ser>
        <c:ser>
          <c:idx val="3"/>
          <c:order val="3"/>
          <c:tx>
            <c:v>L mode*phon</c:v>
          </c:tx>
          <c:spPr>
            <a:ln w="25400">
              <a:solidFill>
                <a:srgbClr val="7570B3"/>
              </a:solidFill>
            </a:ln>
          </c:spPr>
          <c:marker>
            <c:symbol val="square"/>
            <c:size val="9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plus>
            <c:minus>
              <c:numRef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14-4E0A-B5DA-7D3A2DE7C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B1'!$A$11</c:f>
              <c:strCache>
                <c:ptCount val="1"/>
                <c:pt idx="0">
                  <c:v>h_t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plus>
            <c:min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</c:v>
                </c:pt>
                <c:pt idx="1">
                  <c:v>-2.4780000000000002</c:v>
                </c:pt>
                <c:pt idx="2">
                  <c:v>-16.834</c:v>
                </c:pt>
                <c:pt idx="3">
                  <c:v>-2.105</c:v>
                </c:pt>
                <c:pt idx="4">
                  <c:v>-16.462</c:v>
                </c:pt>
                <c:pt idx="5">
                  <c:v>-14.356999999999999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A-424F-BB22-5182EFC89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f0 estimates (mode-only)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B0DA-440D-8258-5054E6A927EB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A-440D-8258-5054E6A927EB}"/>
            </c:ext>
          </c:extLst>
        </c:ser>
        <c:ser>
          <c:idx val="2"/>
          <c:order val="1"/>
          <c:tx>
            <c:v>L mode only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1905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A-440D-8258-5054E6A92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chemeClr val="tx1"/>
                    </a:solidFill>
                    <a:prstDash val="sysDash"/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 RTH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4.0369557022408031</c:v>
                        </c:pt>
                        <c:pt idx="1">
                          <c:v>4.0375767730186993</c:v>
                        </c:pt>
                        <c:pt idx="2">
                          <c:v>4.039742572626011</c:v>
                        </c:pt>
                        <c:pt idx="3">
                          <c:v>4.0433349895845936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 RTH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4.0369557022408031</c:v>
                        </c:pt>
                        <c:pt idx="1">
                          <c:v>4.0375767730186993</c:v>
                        </c:pt>
                        <c:pt idx="2">
                          <c:v>4.039742572626011</c:v>
                        </c:pt>
                        <c:pt idx="3">
                          <c:v>4.0433349895845936</c:v>
                        </c:pt>
                      </c:numCache>
                    </c:numRef>
                  </c:minus>
                  <c:spPr>
                    <a:ln w="19050"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 RTH B0'!$B$58:$B$61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90.16</c:v>
                      </c:pt>
                      <c:pt idx="1">
                        <c:v>90.578000000000003</c:v>
                      </c:pt>
                      <c:pt idx="2">
                        <c:v>91.29</c:v>
                      </c:pt>
                      <c:pt idx="3">
                        <c:v>92.46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0DA-440D-8258-5054E6A927E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 w="25400">
                    <a:solidFill>
                      <a:schemeClr val="tx1"/>
                    </a:solidFill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3.5366489250196906</c:v>
                        </c:pt>
                        <c:pt idx="1">
                          <c:v>3.5369605528343868</c:v>
                        </c:pt>
                        <c:pt idx="2">
                          <c:v>3.5381457604184021</c:v>
                        </c:pt>
                        <c:pt idx="3">
                          <c:v>3.5426305925526975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3.5366489250196906</c:v>
                        </c:pt>
                        <c:pt idx="1">
                          <c:v>3.5369605528343868</c:v>
                        </c:pt>
                        <c:pt idx="2">
                          <c:v>3.5381457604184021</c:v>
                        </c:pt>
                        <c:pt idx="3">
                          <c:v>3.5426305925526975</c:v>
                        </c:pt>
                      </c:numCache>
                    </c:numRef>
                  </c:minus>
                  <c:spPr>
                    <a:ln w="19050"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RTH B0'!$B$47:$B$50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83.99</c:v>
                      </c:pt>
                      <c:pt idx="1">
                        <c:v>84.075999999999993</c:v>
                      </c:pt>
                      <c:pt idx="2">
                        <c:v>85.177999999999997</c:v>
                      </c:pt>
                      <c:pt idx="3">
                        <c:v>85.031999999999996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0DA-440D-8258-5054E6A927EB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h_f0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C36A-4964-948D-6DFF0046830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A-4964-948D-6DFF0046830D}"/>
            </c:ext>
          </c:extLst>
        </c:ser>
        <c:ser>
          <c:idx val="2"/>
          <c:order val="1"/>
          <c:tx>
            <c:v>l_f0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A-4964-948D-6DFF00468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chemeClr val="tx1"/>
                    </a:solidFill>
                    <a:prstDash val="sysDash"/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 RTH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4.0369557022408031</c:v>
                        </c:pt>
                        <c:pt idx="1">
                          <c:v>4.0375767730186993</c:v>
                        </c:pt>
                        <c:pt idx="2">
                          <c:v>4.039742572626011</c:v>
                        </c:pt>
                        <c:pt idx="3">
                          <c:v>4.0433349895845936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 RTH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4.0369557022408031</c:v>
                        </c:pt>
                        <c:pt idx="1">
                          <c:v>4.0375767730186993</c:v>
                        </c:pt>
                        <c:pt idx="2">
                          <c:v>4.039742572626011</c:v>
                        </c:pt>
                        <c:pt idx="3">
                          <c:v>4.0433349895845936</c:v>
                        </c:pt>
                      </c:numCache>
                    </c:numRef>
                  </c:minus>
                  <c:spPr>
                    <a:ln w="19050"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 RTH B0'!$B$58:$B$61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90.16</c:v>
                      </c:pt>
                      <c:pt idx="1">
                        <c:v>90.578000000000003</c:v>
                      </c:pt>
                      <c:pt idx="2">
                        <c:v>91.29</c:v>
                      </c:pt>
                      <c:pt idx="3">
                        <c:v>92.46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36A-4964-948D-6DFF0046830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 w="25400">
                    <a:solidFill>
                      <a:schemeClr val="tx1"/>
                    </a:solidFill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3.5366489250196906</c:v>
                        </c:pt>
                        <c:pt idx="1">
                          <c:v>3.5369605528343868</c:v>
                        </c:pt>
                        <c:pt idx="2">
                          <c:v>3.5381457604184021</c:v>
                        </c:pt>
                        <c:pt idx="3">
                          <c:v>3.5426305925526975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3.5366489250196906</c:v>
                        </c:pt>
                        <c:pt idx="1">
                          <c:v>3.5369605528343868</c:v>
                        </c:pt>
                        <c:pt idx="2">
                          <c:v>3.5381457604184021</c:v>
                        </c:pt>
                        <c:pt idx="3">
                          <c:v>3.5426305925526975</c:v>
                        </c:pt>
                      </c:numCache>
                    </c:numRef>
                  </c:minus>
                  <c:spPr>
                    <a:ln w="19050"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RTH B0'!$B$47:$B$50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83.99</c:v>
                      </c:pt>
                      <c:pt idx="1">
                        <c:v>84.075999999999993</c:v>
                      </c:pt>
                      <c:pt idx="2">
                        <c:v>85.177999999999997</c:v>
                      </c:pt>
                      <c:pt idx="3">
                        <c:v>85.031999999999996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6A-4964-948D-6DFF0046830D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h_t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plus>
            <c:min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C-4456-8961-CB33F3D110BB}"/>
            </c:ext>
          </c:extLst>
        </c:ser>
        <c:ser>
          <c:idx val="2"/>
          <c:order val="1"/>
          <c:tx>
            <c:v>l_t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plus>
            <c:min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C-4456-8961-CB33F3D1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rgbClr val="E66101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 RTH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80.440398875140005</c:v>
                        </c:pt>
                        <c:pt idx="1">
                          <c:v>80.439747977717985</c:v>
                        </c:pt>
                        <c:pt idx="2">
                          <c:v>80.420362544561982</c:v>
                        </c:pt>
                        <c:pt idx="3">
                          <c:v>80.373684580864989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 RTH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80.440398875140005</c:v>
                        </c:pt>
                        <c:pt idx="1">
                          <c:v>80.439747977717985</c:v>
                        </c:pt>
                        <c:pt idx="2">
                          <c:v>80.420362544561982</c:v>
                        </c:pt>
                        <c:pt idx="3">
                          <c:v>80.373684580864989</c:v>
                        </c:pt>
                      </c:numCache>
                    </c:numRef>
                  </c:minus>
                  <c:spPr>
                    <a:ln w="19050">
                      <a:solidFill>
                        <a:srgbClr val="E66101"/>
                      </a:solidFill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 RTH B0'!$B$36:$B$39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268.214</c:v>
                      </c:pt>
                      <c:pt idx="1">
                        <c:v>267.76299999999998</c:v>
                      </c:pt>
                      <c:pt idx="2">
                        <c:v>268.13499999999999</c:v>
                      </c:pt>
                      <c:pt idx="3">
                        <c:v>252.32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71C-4456-8961-CB33F3D110B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>
                    <a:solidFill>
                      <a:srgbClr val="7570B3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B5B0F3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21.501924956829299</c:v>
                        </c:pt>
                        <c:pt idx="1">
                          <c:v>21.502464096134396</c:v>
                        </c:pt>
                        <c:pt idx="2">
                          <c:v>21.550559468490498</c:v>
                        </c:pt>
                        <c:pt idx="3">
                          <c:v>21.659837340050895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21.501924956829299</c:v>
                        </c:pt>
                        <c:pt idx="1">
                          <c:v>21.502464096134396</c:v>
                        </c:pt>
                        <c:pt idx="2">
                          <c:v>21.550559468490498</c:v>
                        </c:pt>
                        <c:pt idx="3">
                          <c:v>21.659837340050895</c:v>
                        </c:pt>
                      </c:numCache>
                    </c:numRef>
                  </c:minus>
                  <c:spPr>
                    <a:ln w="19050">
                      <a:solidFill>
                        <a:srgbClr val="7570B3"/>
                      </a:solidFill>
                    </a:ln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RTH B0'!$B$25:$B$28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67.408000000000001</c:v>
                      </c:pt>
                      <c:pt idx="1">
                        <c:v>67.731999999999999</c:v>
                      </c:pt>
                      <c:pt idx="2">
                        <c:v>69.475999999999999</c:v>
                      </c:pt>
                      <c:pt idx="3">
                        <c:v>47.040999999999997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1C-4456-8961-CB33F3D110BB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alignment (ms)</a:t>
                </a:r>
              </a:p>
            </c:rich>
          </c:tx>
          <c:layout>
            <c:manualLayout>
              <c:xMode val="edge"/>
              <c:yMode val="edge"/>
              <c:x val="8.3367482161060144E-2"/>
              <c:y val="0.290062717657430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alignment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2-4BAA-B780-4B37FDED80FE}"/>
            </c:ext>
          </c:extLst>
        </c:ser>
        <c:ser>
          <c:idx val="2"/>
          <c:order val="1"/>
          <c:tx>
            <c:v>L mode only</c:v>
          </c:tx>
          <c:spPr>
            <a:ln w="25400"/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2-4BAA-B780-4B37FDED80FE}"/>
            </c:ext>
          </c:extLst>
        </c:ser>
        <c:ser>
          <c:idx val="5"/>
          <c:order val="2"/>
          <c:tx>
            <c:v>H mode*phon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plus>
            <c:minus>
              <c:numRef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B0'!$B$36:$B$39</c:f>
              <c:numCache>
                <c:formatCode>0</c:formatCode>
                <c:ptCount val="4"/>
                <c:pt idx="0">
                  <c:v>268.214</c:v>
                </c:pt>
                <c:pt idx="1">
                  <c:v>267.76299999999998</c:v>
                </c:pt>
                <c:pt idx="2">
                  <c:v>268.13499999999999</c:v>
                </c:pt>
                <c:pt idx="3">
                  <c:v>252.32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2-4BAA-B780-4B37FDED80FE}"/>
            </c:ext>
          </c:extLst>
        </c:ser>
        <c:ser>
          <c:idx val="3"/>
          <c:order val="3"/>
          <c:tx>
            <c:v>L mode*phon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plus>
            <c:minus>
              <c:numRef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minus>
            <c:spPr>
              <a:ln w="1905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B0'!$B$25:$B$28</c:f>
              <c:numCache>
                <c:formatCode>0</c:formatCode>
                <c:ptCount val="4"/>
                <c:pt idx="0">
                  <c:v>67.408000000000001</c:v>
                </c:pt>
                <c:pt idx="1">
                  <c:v>67.731999999999999</c:v>
                </c:pt>
                <c:pt idx="2">
                  <c:v>69.475999999999999</c:v>
                </c:pt>
                <c:pt idx="3">
                  <c:v>47.040999999999997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2-4BAA-B780-4B37FDED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alignment (ms)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diamond"/>
            <c:size val="10"/>
            <c:spPr>
              <a:solidFill>
                <a:schemeClr val="bg1"/>
              </a:solidFill>
              <a:ln w="19050">
                <a:solidFill>
                  <a:schemeClr val="bg1">
                    <a:lumMod val="50000"/>
                  </a:schemeClr>
                </a:solidFill>
              </a:ln>
            </c:spPr>
          </c:marker>
          <c:dPt>
            <c:idx val="3"/>
            <c:marker>
              <c:symbol val="diamond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00-9577-4E7B-BC1D-E11C7D24E839}"/>
              </c:ext>
            </c:extLst>
          </c:dPt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7-4E7B-BC1D-E11C7D24E839}"/>
            </c:ext>
          </c:extLst>
        </c:ser>
        <c:ser>
          <c:idx val="2"/>
          <c:order val="1"/>
          <c:tx>
            <c:v>L mode only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diamond"/>
            <c:size val="11"/>
            <c:spPr>
              <a:solidFill>
                <a:schemeClr val="bg1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7-4E7B-BC1D-E11C7D24E839}"/>
            </c:ext>
          </c:extLst>
        </c:ser>
        <c:ser>
          <c:idx val="5"/>
          <c:order val="2"/>
          <c:tx>
            <c:v>H mode+phon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B0'!$F$58:$F$61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4.0375767730186993</c:v>
                  </c:pt>
                  <c:pt idx="2">
                    <c:v>4.039742572626011</c:v>
                  </c:pt>
                  <c:pt idx="3">
                    <c:v>4.0433349895845936</c:v>
                  </c:pt>
                </c:numCache>
              </c:numRef>
            </c:plus>
            <c:minus>
              <c:numRef>
                <c:f>'mode RTH B0'!$F$58:$F$61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4.0375767730186993</c:v>
                  </c:pt>
                  <c:pt idx="2">
                    <c:v>4.039742572626011</c:v>
                  </c:pt>
                  <c:pt idx="3">
                    <c:v>4.0433349895845936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77-4E7B-BC1D-E11C7D24E839}"/>
            </c:ext>
          </c:extLst>
        </c:ser>
        <c:ser>
          <c:idx val="3"/>
          <c:order val="3"/>
          <c:tx>
            <c:v>L mode+phon</c:v>
          </c:tx>
          <c:spPr>
            <a:ln w="25400">
              <a:solidFill>
                <a:srgbClr val="7570B3"/>
              </a:solidFill>
            </a:ln>
          </c:spPr>
          <c:marker>
            <c:symbol val="square"/>
            <c:size val="9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plus>
            <c:minus>
              <c:numRef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77-4E7B-BC1D-E11C7D24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5-46A4-AB65-99CFE7B419F7}"/>
            </c:ext>
          </c:extLst>
        </c:ser>
        <c:ser>
          <c:idx val="2"/>
          <c:order val="1"/>
          <c:tx>
            <c:v>L mode only</c:v>
          </c:tx>
          <c:spPr>
            <a:ln w="25400"/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5-46A4-AB65-99CFE7B419F7}"/>
            </c:ext>
          </c:extLst>
        </c:ser>
        <c:ser>
          <c:idx val="5"/>
          <c:order val="2"/>
          <c:tx>
            <c:v>H mode+phon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plus>
            <c:minus>
              <c:numRef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B0'!$B$36:$B$39</c:f>
              <c:numCache>
                <c:formatCode>0</c:formatCode>
                <c:ptCount val="4"/>
                <c:pt idx="0">
                  <c:v>268.214</c:v>
                </c:pt>
                <c:pt idx="1">
                  <c:v>267.76299999999998</c:v>
                </c:pt>
                <c:pt idx="2">
                  <c:v>268.13499999999999</c:v>
                </c:pt>
                <c:pt idx="3">
                  <c:v>252.32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5-46A4-AB65-99CFE7B419F7}"/>
            </c:ext>
          </c:extLst>
        </c:ser>
        <c:ser>
          <c:idx val="3"/>
          <c:order val="3"/>
          <c:tx>
            <c:v>L mode+phon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plus>
            <c:minus>
              <c:numRef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minus>
            <c:spPr>
              <a:ln w="1905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B0'!$B$25:$B$28</c:f>
              <c:numCache>
                <c:formatCode>0</c:formatCode>
                <c:ptCount val="4"/>
                <c:pt idx="0">
                  <c:v>67.408000000000001</c:v>
                </c:pt>
                <c:pt idx="1">
                  <c:v>67.731999999999999</c:v>
                </c:pt>
                <c:pt idx="2">
                  <c:v>69.475999999999999</c:v>
                </c:pt>
                <c:pt idx="3">
                  <c:v>47.040999999999997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A5-46A4-AB65-99CFE7B4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alignment (ms)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E" sz="1000"/>
              <a:t>slopes of H </a:t>
            </a:r>
            <a:r>
              <a:rPr lang="en-IE" sz="1000" i="1"/>
              <a:t>f</a:t>
            </a:r>
            <a:r>
              <a:rPr lang="en-IE" sz="1000" i="0" baseline="-25000"/>
              <a:t>0</a:t>
            </a:r>
            <a:r>
              <a:rPr lang="en-IE" sz="1000" i="0"/>
              <a:t> compared</a:t>
            </a:r>
            <a:endParaRPr lang="en-IE" sz="10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 only</c:v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D-4370-8A93-F4833F0388A4}"/>
            </c:ext>
          </c:extLst>
        </c:ser>
        <c:ser>
          <c:idx val="1"/>
          <c:order val="1"/>
          <c:tx>
            <c:v>mode+phon</c:v>
          </c:tx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D-4370-8A93-F4833F038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973903"/>
        <c:axId val="193841663"/>
      </c:bar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h_f0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IE" sz="900" b="0"/>
              <a:t>pairwise comparison of slopes for l_t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B1'!$K$5,'mode B1'!$K$10,'mode B1'!$K$15,'mode B1'!$K$20,'mode B1'!$K$25,'mode B1'!$K$30)</c:f>
                <c:numCache>
                  <c:formatCode>General</c:formatCode>
                  <c:ptCount val="6"/>
                  <c:pt idx="0">
                    <c:v>3.9377894989086499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plus>
            <c:minus>
              <c:numRef>
                <c:f>('mode B1'!$K$5,'mode B1'!$K$10,'mode B1'!$K$15,'mode B1'!$K$20,'mode B1'!$K$25,'mode B1'!$K$30)</c:f>
                <c:numCache>
                  <c:formatCode>General</c:formatCode>
                  <c:ptCount val="6"/>
                  <c:pt idx="0">
                    <c:v>3.9377894989086499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0.40400000000000003</c:v>
                </c:pt>
                <c:pt idx="1">
                  <c:v>-2.2949999999999999</c:v>
                </c:pt>
                <c:pt idx="2">
                  <c:v>-21.047999999999998</c:v>
                </c:pt>
                <c:pt idx="3">
                  <c:v>-2.6989999999999998</c:v>
                </c:pt>
                <c:pt idx="4">
                  <c:v>-21.452000000000002</c:v>
                </c:pt>
                <c:pt idx="5">
                  <c:v>-18.753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4-4F08-9B12-E672B349E951}"/>
            </c:ext>
          </c:extLst>
        </c:ser>
        <c:ser>
          <c:idx val="1"/>
          <c:order val="1"/>
          <c:tx>
            <c:v>mode*phon</c:v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B1'!$B$5,'mode RTH B1'!$B$10,'mode RTH B1'!$B$15,'mode RTH B1'!$B$20,'mode RTH B1'!$B$25,'mode RTH B1'!$B$30)</c:f>
              <c:numCache>
                <c:formatCode>0</c:formatCode>
                <c:ptCount val="6"/>
                <c:pt idx="0" formatCode="0.0">
                  <c:v>0.32500000000000001</c:v>
                </c:pt>
                <c:pt idx="1">
                  <c:v>2.0680000000000001</c:v>
                </c:pt>
                <c:pt idx="2">
                  <c:v>-20.366</c:v>
                </c:pt>
                <c:pt idx="3">
                  <c:v>1.744</c:v>
                </c:pt>
                <c:pt idx="4">
                  <c:v>-20.690999999999999</c:v>
                </c:pt>
                <c:pt idx="5">
                  <c:v>-22.434999999999999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4-4F08-9B12-E672B349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l-GR" sz="800" b="0"/>
                  <a:t>β</a:t>
                </a:r>
                <a:r>
                  <a:rPr lang="en-GB" sz="800" b="0"/>
                  <a:t>1 </a:t>
                </a:r>
                <a:r>
                  <a:rPr lang="en-US" sz="800" b="0"/>
                  <a:t>(ms)</a:t>
                </a:r>
              </a:p>
            </c:rich>
          </c:tx>
          <c:layout>
            <c:manualLayout>
              <c:xMode val="edge"/>
              <c:yMode val="edge"/>
              <c:x val="6.6666666666666666E-2"/>
              <c:y val="0.29782967819907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 sz="800"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 rtl="0">
              <a:defRPr sz="800"/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IE" sz="900" b="0"/>
              <a:t>Pairwise comparison slopes of for l_f0</a:t>
            </a:r>
            <a:endParaRPr lang="en-IE" sz="9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mode-only</c:v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plus>
            <c:min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0.124</c:v>
                </c:pt>
                <c:pt idx="1">
                  <c:v>1.621</c:v>
                </c:pt>
                <c:pt idx="2">
                  <c:v>2.4830000000000001</c:v>
                </c:pt>
                <c:pt idx="3">
                  <c:v>1.4970000000000001</c:v>
                </c:pt>
                <c:pt idx="4">
                  <c:v>2.3580000000000001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E-49B5-A082-34B48CB7B59D}"/>
            </c:ext>
          </c:extLst>
        </c:ser>
        <c:ser>
          <c:idx val="1"/>
          <c:order val="1"/>
          <c:tx>
            <c:v>mode*phon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plus>
            <c:min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B1'!$B$8,'mode RTH B1'!$B$13,'mode RTH B1'!$B$18,'mode RTH B1'!$B$23,'mode RTH B1'!$B$28)</c:f>
              <c:numCache>
                <c:formatCode>0.0</c:formatCode>
                <c:ptCount val="6"/>
                <c:pt idx="0">
                  <c:v>8.5999999999999993E-2</c:v>
                </c:pt>
                <c:pt idx="1">
                  <c:v>1.1879999999999999</c:v>
                </c:pt>
                <c:pt idx="2">
                  <c:v>1.042</c:v>
                </c:pt>
                <c:pt idx="3">
                  <c:v>1.1020000000000001</c:v>
                </c:pt>
                <c:pt idx="4">
                  <c:v>0.95599999999999996</c:v>
                </c:pt>
                <c:pt idx="5">
                  <c:v>-0.14599999999999999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E-49B5-A082-34B48CB7B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800"/>
                  <a:t>β</a:t>
                </a:r>
                <a:r>
                  <a:rPr lang="en-GB" sz="800" baseline="-25000"/>
                  <a:t>1</a:t>
                </a:r>
                <a:r>
                  <a:rPr lang="en-GB" sz="800"/>
                  <a:t> </a:t>
                </a:r>
                <a:r>
                  <a:rPr lang="en-US" sz="800"/>
                  <a:t>(ST</a:t>
                </a:r>
                <a:r>
                  <a:rPr lang="en-US" sz="800" baseline="0"/>
                  <a:t> re 1 Hz</a:t>
                </a:r>
                <a:r>
                  <a:rPr lang="en-US" sz="800"/>
                  <a:t>)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0.255662520992981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IE" sz="900" b="0"/>
              <a:t>pairwise comparison of slopes for h_t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plus>
            <c:min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</c:v>
                </c:pt>
                <c:pt idx="1">
                  <c:v>-2.4780000000000002</c:v>
                </c:pt>
                <c:pt idx="2">
                  <c:v>-16.834</c:v>
                </c:pt>
                <c:pt idx="3">
                  <c:v>-2.105</c:v>
                </c:pt>
                <c:pt idx="4">
                  <c:v>-16.462</c:v>
                </c:pt>
                <c:pt idx="5">
                  <c:v>-14.356999999999999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4-45AA-9D35-682B415C540A}"/>
            </c:ext>
          </c:extLst>
        </c:ser>
        <c:ser>
          <c:idx val="1"/>
          <c:order val="1"/>
          <c:tx>
            <c:v>mode*phon</c:v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plus>
            <c:min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B1'!$B$6,'mode RTH B1'!$B$11,'mode RTH B1'!$B$16,'mode RTH B1'!$B$21,'mode RTH B1'!$B$26,'mode RTH B1'!$B$31)</c:f>
              <c:numCache>
                <c:formatCode>0</c:formatCode>
                <c:ptCount val="6"/>
                <c:pt idx="0" formatCode="0.0">
                  <c:v>-0.45100000000000001</c:v>
                </c:pt>
                <c:pt idx="1">
                  <c:v>-7.9000000000000001E-2</c:v>
                </c:pt>
                <c:pt idx="2">
                  <c:v>-15.894</c:v>
                </c:pt>
                <c:pt idx="3">
                  <c:v>0.372</c:v>
                </c:pt>
                <c:pt idx="4">
                  <c:v>-15.443</c:v>
                </c:pt>
                <c:pt idx="5">
                  <c:v>-15.815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4-45AA-9D35-682B415C5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l-GR" sz="800" b="0"/>
                  <a:t>β</a:t>
                </a:r>
                <a:r>
                  <a:rPr lang="en-GB" sz="800" b="0"/>
                  <a:t>1</a:t>
                </a:r>
                <a:r>
                  <a:rPr lang="en-US" sz="800" b="0"/>
                  <a:t> (ms)</a:t>
                </a:r>
              </a:p>
            </c:rich>
          </c:tx>
          <c:layout>
            <c:manualLayout>
              <c:xMode val="edge"/>
              <c:yMode val="edge"/>
              <c:x val="6.6666666666666666E-2"/>
              <c:y val="0.29782967819907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l_f0</c:v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651-47AA-8B67-7DB35EBBD2E4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651-47AA-8B67-7DB35EBBD2E4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651-47AA-8B67-7DB35EBBD2E4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651-47AA-8B67-7DB35EBBD2E4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9525"/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51-47AA-8B67-7DB35EBBD2E4}"/>
            </c:ext>
          </c:extLst>
        </c:ser>
        <c:ser>
          <c:idx val="2"/>
          <c:order val="1"/>
          <c:tx>
            <c:v>h_f0</c:v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4651-47AA-8B67-7DB35EBBD2E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4651-47AA-8B67-7DB35EBBD2E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4651-47AA-8B67-7DB35EBBD2E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4651-47AA-8B67-7DB35EBBD2E4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651-47AA-8B67-7DB35EBB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Pairwise comparison slopes of for h_f0</a:t>
            </a:r>
            <a:endParaRPr lang="en-IE" sz="10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mode-only</c:v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8-4ABE-A8A8-04D307CD9612}"/>
            </c:ext>
          </c:extLst>
        </c:ser>
        <c:ser>
          <c:idx val="1"/>
          <c:order val="1"/>
          <c:tx>
            <c:v>mode*phon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8-4ABE-A8A8-04D307CD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800"/>
                  <a:t>β</a:t>
                </a:r>
                <a:r>
                  <a:rPr lang="en-GB" sz="800" baseline="-25000"/>
                  <a:t>1</a:t>
                </a:r>
                <a:r>
                  <a:rPr lang="en-GB" sz="800"/>
                  <a:t> </a:t>
                </a:r>
                <a:r>
                  <a:rPr lang="en-US" sz="800"/>
                  <a:t>(ST</a:t>
                </a:r>
                <a:r>
                  <a:rPr lang="en-US" sz="800" baseline="0"/>
                  <a:t> re 1 Hz</a:t>
                </a:r>
                <a:r>
                  <a:rPr lang="en-US" sz="800"/>
                  <a:t>)</a:t>
                </a:r>
              </a:p>
            </c:rich>
          </c:tx>
          <c:layout>
            <c:manualLayout>
              <c:xMode val="edge"/>
              <c:yMode val="edge"/>
              <c:x val="9.841269841269841E-2"/>
              <c:y val="0.28249610928061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mode-only</c:v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2-4E74-8AA7-1EA0788A0CFE}"/>
            </c:ext>
          </c:extLst>
        </c:ser>
        <c:ser>
          <c:idx val="1"/>
          <c:order val="1"/>
          <c:tx>
            <c:v>mode*phon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2-4E74-8AA7-1EA0788A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β</a:t>
                </a:r>
                <a:r>
                  <a:rPr lang="en-GB"/>
                  <a:t>1 </a:t>
                </a:r>
                <a:r>
                  <a:rPr lang="en-US"/>
                  <a:t>(ST re 1 Hz)</a:t>
                </a:r>
              </a:p>
            </c:rich>
          </c:tx>
          <c:layout>
            <c:manualLayout>
              <c:xMode val="edge"/>
              <c:yMode val="edge"/>
              <c:x val="0.13282994579945798"/>
              <c:y val="0.282496031746031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B1'!$K$5,'mode B1'!$K$10,'mode B1'!$K$15,'mode B1'!$K$20,'mode B1'!$K$25,'mode B1'!$K$30)</c:f>
                <c:numCache>
                  <c:formatCode>General</c:formatCode>
                  <c:ptCount val="6"/>
                  <c:pt idx="0">
                    <c:v>3.9377894989086499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plus>
            <c:minus>
              <c:numRef>
                <c:f>('mode B1'!$K$5,'mode B1'!$K$10,'mode B1'!$K$15,'mode B1'!$K$20,'mode B1'!$K$25,'mode B1'!$K$30)</c:f>
                <c:numCache>
                  <c:formatCode>General</c:formatCode>
                  <c:ptCount val="6"/>
                  <c:pt idx="0">
                    <c:v>3.9377894989086499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0.40400000000000003</c:v>
                </c:pt>
                <c:pt idx="1">
                  <c:v>-2.2949999999999999</c:v>
                </c:pt>
                <c:pt idx="2">
                  <c:v>-21.047999999999998</c:v>
                </c:pt>
                <c:pt idx="3">
                  <c:v>-2.6989999999999998</c:v>
                </c:pt>
                <c:pt idx="4">
                  <c:v>-21.452000000000002</c:v>
                </c:pt>
                <c:pt idx="5">
                  <c:v>-18.753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E-4F1D-BE67-EDE311517DC5}"/>
            </c:ext>
          </c:extLst>
        </c:ser>
        <c:ser>
          <c:idx val="1"/>
          <c:order val="1"/>
          <c:tx>
            <c:v>mode*phon</c:v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B1'!$B$5,'mode RTH B1'!$B$10,'mode RTH B1'!$B$15,'mode RTH B1'!$B$20,'mode RTH B1'!$B$25,'mode RTH B1'!$B$30)</c:f>
              <c:numCache>
                <c:formatCode>0</c:formatCode>
                <c:ptCount val="6"/>
                <c:pt idx="0" formatCode="0.0">
                  <c:v>0.32500000000000001</c:v>
                </c:pt>
                <c:pt idx="1">
                  <c:v>2.0680000000000001</c:v>
                </c:pt>
                <c:pt idx="2">
                  <c:v>-20.366</c:v>
                </c:pt>
                <c:pt idx="3">
                  <c:v>1.744</c:v>
                </c:pt>
                <c:pt idx="4">
                  <c:v>-20.690999999999999</c:v>
                </c:pt>
                <c:pt idx="5">
                  <c:v>-22.434999999999999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E-4F1D-BE67-EDE311517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β</a:t>
                </a:r>
                <a:r>
                  <a:rPr lang="en-GB"/>
                  <a:t>1 </a:t>
                </a:r>
                <a:r>
                  <a:rPr lang="en-US"/>
                  <a:t>(ms)</a:t>
                </a:r>
              </a:p>
            </c:rich>
          </c:tx>
          <c:layout>
            <c:manualLayout>
              <c:xMode val="edge"/>
              <c:yMode val="edge"/>
              <c:x val="0.11829268292682926"/>
              <c:y val="0.29782976190476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mode-only</c:v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plus>
            <c:min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0.124</c:v>
                </c:pt>
                <c:pt idx="1">
                  <c:v>1.621</c:v>
                </c:pt>
                <c:pt idx="2">
                  <c:v>2.4830000000000001</c:v>
                </c:pt>
                <c:pt idx="3">
                  <c:v>1.4970000000000001</c:v>
                </c:pt>
                <c:pt idx="4">
                  <c:v>2.3580000000000001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2-4382-8CF0-73F5D92CBD41}"/>
            </c:ext>
          </c:extLst>
        </c:ser>
        <c:ser>
          <c:idx val="1"/>
          <c:order val="1"/>
          <c:tx>
            <c:v>mode*phon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plus>
            <c:min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B1'!$B$8,'mode RTH B1'!$B$13,'mode RTH B1'!$B$18,'mode RTH B1'!$B$23,'mode RTH B1'!$B$28)</c:f>
              <c:numCache>
                <c:formatCode>0.0</c:formatCode>
                <c:ptCount val="6"/>
                <c:pt idx="0">
                  <c:v>8.5999999999999993E-2</c:v>
                </c:pt>
                <c:pt idx="1">
                  <c:v>1.1879999999999999</c:v>
                </c:pt>
                <c:pt idx="2">
                  <c:v>1.042</c:v>
                </c:pt>
                <c:pt idx="3">
                  <c:v>1.1020000000000001</c:v>
                </c:pt>
                <c:pt idx="4">
                  <c:v>0.95599999999999996</c:v>
                </c:pt>
                <c:pt idx="5">
                  <c:v>-0.14599999999999999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2-4382-8CF0-73F5D92C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β</a:t>
                </a:r>
                <a:r>
                  <a:rPr lang="en-GB"/>
                  <a:t>1 </a:t>
                </a:r>
                <a:r>
                  <a:rPr lang="en-US"/>
                  <a:t>(ST re 1 Hz)</a:t>
                </a:r>
              </a:p>
            </c:rich>
          </c:tx>
          <c:layout>
            <c:manualLayout>
              <c:xMode val="edge"/>
              <c:yMode val="edge"/>
              <c:x val="0.12760840108401084"/>
              <c:y val="0.25566269841269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plus>
            <c:min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</c:v>
                </c:pt>
                <c:pt idx="1">
                  <c:v>-2.4780000000000002</c:v>
                </c:pt>
                <c:pt idx="2">
                  <c:v>-16.834</c:v>
                </c:pt>
                <c:pt idx="3">
                  <c:v>-2.105</c:v>
                </c:pt>
                <c:pt idx="4">
                  <c:v>-16.462</c:v>
                </c:pt>
                <c:pt idx="5">
                  <c:v>-14.356999999999999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4-448F-BC40-7C7EFB7C2C66}"/>
            </c:ext>
          </c:extLst>
        </c:ser>
        <c:ser>
          <c:idx val="1"/>
          <c:order val="1"/>
          <c:tx>
            <c:v>mode*phon</c:v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plus>
            <c:min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B1'!$B$6,'mode RTH B1'!$B$11,'mode RTH B1'!$B$16,'mode RTH B1'!$B$21,'mode RTH B1'!$B$26,'mode RTH B1'!$B$31)</c:f>
              <c:numCache>
                <c:formatCode>0</c:formatCode>
                <c:ptCount val="6"/>
                <c:pt idx="0" formatCode="0.0">
                  <c:v>-0.45100000000000001</c:v>
                </c:pt>
                <c:pt idx="1">
                  <c:v>-7.9000000000000001E-2</c:v>
                </c:pt>
                <c:pt idx="2">
                  <c:v>-15.894</c:v>
                </c:pt>
                <c:pt idx="3">
                  <c:v>0.372</c:v>
                </c:pt>
                <c:pt idx="4">
                  <c:v>-15.443</c:v>
                </c:pt>
                <c:pt idx="5">
                  <c:v>-15.815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4-448F-BC40-7C7EFB7C2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β</a:t>
                </a:r>
                <a:r>
                  <a:rPr lang="en-GB"/>
                  <a:t>1</a:t>
                </a:r>
                <a:r>
                  <a:rPr lang="en-US"/>
                  <a:t> (ms)</a:t>
                </a:r>
              </a:p>
            </c:rich>
          </c:tx>
          <c:layout>
            <c:manualLayout>
              <c:xMode val="edge"/>
              <c:yMode val="edge"/>
              <c:x val="0.10968834688346883"/>
              <c:y val="0.29782976190476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slopes of H</a:t>
            </a:r>
            <a:r>
              <a:rPr lang="en-IE" sz="1000" b="0" baseline="0"/>
              <a:t> </a:t>
            </a:r>
            <a:r>
              <a:rPr lang="en-IE" sz="1000" b="0" i="1" baseline="0"/>
              <a:t>f</a:t>
            </a:r>
            <a:r>
              <a:rPr lang="en-IE" sz="1000" b="0" i="0" baseline="-25000"/>
              <a:t>0</a:t>
            </a:r>
            <a:r>
              <a:rPr lang="en-IE" sz="1000" b="0" i="0" baseline="0"/>
              <a:t> compared</a:t>
            </a:r>
            <a:endParaRPr lang="en-IE" sz="10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>
                <a:prstDash val="sysDash"/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6235769929956359E-2"/>
                  <c:y val="-2.6695579731451535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B1'!$A$17,'mode B1'!$A$7,'mode B1'!$A$27,'mode B1'!$A$22,'mode B1'!$A$12)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B1'!$B$4,'mode B1'!$B$19,'mode B1'!$B$9,'mode B1'!$B$29,'mode B1'!$B$24,'mode B1'!$B$14)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1.3129999999999999</c:v>
                </c:pt>
                <c:pt idx="2">
                  <c:v>1.7190000000000001</c:v>
                </c:pt>
                <c:pt idx="3">
                  <c:v>2.794</c:v>
                </c:pt>
                <c:pt idx="4">
                  <c:v>4.1059999999999999</c:v>
                </c:pt>
                <c:pt idx="5">
                  <c:v>4.5129999999999999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4-4308-B93B-721DE68CA17A}"/>
            </c:ext>
          </c:extLst>
        </c:ser>
        <c:ser>
          <c:idx val="1"/>
          <c:order val="1"/>
          <c:tx>
            <c:v>mode+phon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E66101"/>
                </a:solidFill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0657110974900586E-2"/>
                  <c:y val="9.2096074683916493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rgbClr val="E66101"/>
                      </a:solidFill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B1'!$A$2,'mode B1'!$A$17,'mode B1'!$A$7,'mode B1'!$A$27,'mode B1'!$A$22,'mode B1'!$A$12)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RTH B1'!$B$4,'mode RTH B1'!$B$19,'mode RTH B1'!$B$9,'mode RTH B1'!$B$29,'mode RTH B1'!$B$24,'mode RTH B1'!$B$14)</c:f>
              <c:numCache>
                <c:formatCode>0.0</c:formatCode>
                <c:ptCount val="6"/>
                <c:pt idx="0">
                  <c:v>0.41699999999999998</c:v>
                </c:pt>
                <c:pt idx="1">
                  <c:v>0.71199999999999997</c:v>
                </c:pt>
                <c:pt idx="2">
                  <c:v>1.129</c:v>
                </c:pt>
                <c:pt idx="3">
                  <c:v>1.171</c:v>
                </c:pt>
                <c:pt idx="4">
                  <c:v>1.883</c:v>
                </c:pt>
                <c:pt idx="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B4-4308-B93B-721DE68C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 </a:t>
                </a: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Mode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A5-4A67-88C0-3BC869DD2C63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A5-4A67-88C0-3BC869DD2C63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A5-4A67-88C0-3BC869DD2C63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A5-4A67-88C0-3BC869DD2C6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Mode B0'!$J$11:$J$14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Mode B0'!$J$11:$J$14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Mode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 B0'!$B$11:$B$14</c:f>
              <c:numCache>
                <c:formatCode>0.00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A5-4A67-88C0-3BC869DD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Mode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00-429C-A6B4-F694F80DA4AE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00-429C-A6B4-F694F80DA4AE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00-429C-A6B4-F694F80DA4A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00-429C-A6B4-F694F80DA4AE}"/>
              </c:ext>
            </c:extLst>
          </c:dPt>
          <c:errBars>
            <c:errBarType val="both"/>
            <c:errValType val="cust"/>
            <c:noEndCap val="0"/>
            <c:pl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plus>
            <c:min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Mode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 B0'!$B$3:$B$6</c:f>
              <c:numCache>
                <c:formatCode>0.0</c:formatCode>
                <c:ptCount val="4"/>
                <c:pt idx="0">
                  <c:v>-0.52353979027253095</c:v>
                </c:pt>
                <c:pt idx="1">
                  <c:v>-4.9753135106339497E-2</c:v>
                </c:pt>
                <c:pt idx="2">
                  <c:v>0.23743757336004501</c:v>
                </c:pt>
                <c:pt idx="3">
                  <c:v>1.67378616080225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00-429C-A6B4-F694F80D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'Utt Mode B0'!$F$23</c:f>
              <c:strCache>
                <c:ptCount val="1"/>
                <c:pt idx="0">
                  <c:v>ave  mean f0 (mode-only)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B0'!$F$24:$F$25</c:f>
              <c:numCache>
                <c:formatCode>0.00</c:formatCode>
                <c:ptCount val="2"/>
                <c:pt idx="0">
                  <c:v>0.33448270219585613</c:v>
                </c:pt>
                <c:pt idx="1">
                  <c:v>0.33448270219585613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5-4912-93BE-2CF36FB58808}"/>
            </c:ext>
          </c:extLst>
        </c:ser>
        <c:ser>
          <c:idx val="3"/>
          <c:order val="1"/>
          <c:tx>
            <c:strRef>
              <c:f>'Utt Mode B0'!$F$18</c:f>
              <c:strCache>
                <c:ptCount val="1"/>
                <c:pt idx="0">
                  <c:v>ave slope (mode only)</c:v>
                </c:pt>
              </c:strCache>
            </c:strRef>
          </c:tx>
          <c:spPr>
            <a:ln w="25400" cap="rnd">
              <a:solidFill>
                <a:srgbClr val="1B9E77"/>
              </a:solidFill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B0'!$F$19:$F$20</c:f>
              <c:numCache>
                <c:formatCode>0.00</c:formatCode>
                <c:ptCount val="2"/>
                <c:pt idx="0">
                  <c:v>-2.687017297804144</c:v>
                </c:pt>
                <c:pt idx="1">
                  <c:v>3.3559827021958561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15-4912-93BE-2CF36FB58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At val="80"/>
        <c:crossBetween val="midCat"/>
        <c:majorUnit val="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At val="-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mean f0 and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'Utt Mode B0'!$B$18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0100-43C6-8227-BFB0D9AE9982}"/>
              </c:ext>
            </c:extLst>
          </c:dPt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B0'!$B$19:$B$20</c:f>
              <c:numCache>
                <c:formatCode>0.00</c:formatCode>
                <c:ptCount val="2"/>
                <c:pt idx="0">
                  <c:v>0.32446020972746903</c:v>
                </c:pt>
                <c:pt idx="1">
                  <c:v>-1.3715397902725308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00-43C6-8227-BFB0D9AE9982}"/>
            </c:ext>
          </c:extLst>
        </c:ser>
        <c:ser>
          <c:idx val="5"/>
          <c:order val="1"/>
          <c:tx>
            <c:strRef>
              <c:f>'Utt Mode B0'!$C$18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 cap="rnd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B0'!$C$19:$C$20</c:f>
              <c:numCache>
                <c:formatCode>0.00</c:formatCode>
                <c:ptCount val="2"/>
                <c:pt idx="0">
                  <c:v>5.648246864893661</c:v>
                </c:pt>
                <c:pt idx="1">
                  <c:v>-5.7477531351063398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00-43C6-8227-BFB0D9AE9982}"/>
            </c:ext>
          </c:extLst>
        </c:ser>
        <c:ser>
          <c:idx val="6"/>
          <c:order val="2"/>
          <c:tx>
            <c:strRef>
              <c:f>'Utt Mode B0'!$D$18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B0'!$D$19:$D$20</c:f>
              <c:numCache>
                <c:formatCode>0.00</c:formatCode>
                <c:ptCount val="2"/>
                <c:pt idx="0">
                  <c:v>-6.0145624266399551</c:v>
                </c:pt>
                <c:pt idx="1">
                  <c:v>6.4894375733600445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00-43C6-8227-BFB0D9AE9982}"/>
            </c:ext>
          </c:extLst>
        </c:ser>
        <c:ser>
          <c:idx val="7"/>
          <c:order val="3"/>
          <c:tx>
            <c:strRef>
              <c:f>'Utt Mode B0'!$E$18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ap="rnd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B0'!$E$19:$E$20</c:f>
              <c:numCache>
                <c:formatCode>0.00</c:formatCode>
                <c:ptCount val="2"/>
                <c:pt idx="0">
                  <c:v>-10.706213839197751</c:v>
                </c:pt>
                <c:pt idx="1">
                  <c:v>12.617437573360046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00-43C6-8227-BFB0D9AE9982}"/>
            </c:ext>
          </c:extLst>
        </c:ser>
        <c:ser>
          <c:idx val="1"/>
          <c:order val="4"/>
          <c:tx>
            <c:strRef>
              <c:f>'Utt Mode B0'!$D$23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mpd="dbl">
              <a:solidFill>
                <a:srgbClr val="1B9E77"/>
              </a:solidFill>
              <a:prstDash val="sysDash"/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B0'!$D$24:$D$25</c:f>
              <c:numCache>
                <c:formatCode>0.00</c:formatCode>
                <c:ptCount val="2"/>
                <c:pt idx="0">
                  <c:v>0.23743757336004501</c:v>
                </c:pt>
                <c:pt idx="1">
                  <c:v>0.23743757336004501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00-43C6-8227-BFB0D9AE9982}"/>
            </c:ext>
          </c:extLst>
        </c:ser>
        <c:ser>
          <c:idx val="2"/>
          <c:order val="5"/>
          <c:tx>
            <c:strRef>
              <c:f>'Utt Mode B0'!$C$23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 cap="rnd" cmpd="dbl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B0'!$C$24:$C$25</c:f>
              <c:numCache>
                <c:formatCode>0.00</c:formatCode>
                <c:ptCount val="2"/>
                <c:pt idx="0">
                  <c:v>-4.9753135106339497E-2</c:v>
                </c:pt>
                <c:pt idx="1">
                  <c:v>-4.9753135106339497E-2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00-43C6-8227-BFB0D9AE9982}"/>
            </c:ext>
          </c:extLst>
        </c:ser>
        <c:ser>
          <c:idx val="3"/>
          <c:order val="6"/>
          <c:tx>
            <c:strRef>
              <c:f>'Utt Mode B0'!$B$23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ap="rnd" cmpd="dbl">
              <a:solidFill>
                <a:srgbClr val="7570B3"/>
              </a:solidFill>
              <a:round/>
            </a:ln>
            <a:effectLst/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B0'!$B$24:$B$25</c:f>
              <c:numCache>
                <c:formatCode>0.00</c:formatCode>
                <c:ptCount val="2"/>
                <c:pt idx="0">
                  <c:v>-0.52353979027253095</c:v>
                </c:pt>
                <c:pt idx="1">
                  <c:v>-0.52353979027253095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00-43C6-8227-BFB0D9AE9982}"/>
            </c:ext>
          </c:extLst>
        </c:ser>
        <c:ser>
          <c:idx val="0"/>
          <c:order val="7"/>
          <c:tx>
            <c:strRef>
              <c:f>'Utt Mode B0'!$E$23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ap="rnd" cmpd="dbl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B0'!$E$24:$E$25</c:f>
              <c:numCache>
                <c:formatCode>0.00</c:formatCode>
                <c:ptCount val="2"/>
                <c:pt idx="0">
                  <c:v>1.67378616080225</c:v>
                </c:pt>
                <c:pt idx="1">
                  <c:v>1.67378616080225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00-43C6-8227-BFB0D9AE9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 val="autoZero"/>
        <c:crossBetween val="midCat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 val="max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plus>
            <c:min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0.124</c:v>
                </c:pt>
                <c:pt idx="1">
                  <c:v>1.621</c:v>
                </c:pt>
                <c:pt idx="2">
                  <c:v>2.4830000000000001</c:v>
                </c:pt>
                <c:pt idx="3">
                  <c:v>1.4970000000000001</c:v>
                </c:pt>
                <c:pt idx="4">
                  <c:v>2.3580000000000001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F-42C3-AB11-276DDCBD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 (full</a:t>
            </a:r>
            <a:r>
              <a:rPr lang="en-US" baseline="0"/>
              <a:t> </a:t>
            </a:r>
            <a:r>
              <a:rPr lang="en-US"/>
              <a:t>phon)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full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C1-480A-91E0-E71B9EC4C061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C1-480A-91E0-E71B9EC4C061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C1-480A-91E0-E71B9EC4C061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1-480A-91E0-E71B9EC4C06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full B0'!$J$11:$J$14</c:f>
                <c:numCache>
                  <c:formatCode>General</c:formatCode>
                  <c:ptCount val="4"/>
                  <c:pt idx="0">
                    <c:v>4.5811808144231296</c:v>
                  </c:pt>
                  <c:pt idx="1">
                    <c:v>4.8296122853006755</c:v>
                  </c:pt>
                  <c:pt idx="2">
                    <c:v>4.4960133338710584</c:v>
                  </c:pt>
                  <c:pt idx="3">
                    <c:v>4.6450987094665601</c:v>
                  </c:pt>
                </c:numCache>
              </c:numRef>
            </c:plus>
            <c:minus>
              <c:numRef>
                <c:f>'Utt full B0'!$J$11:$J$14</c:f>
                <c:numCache>
                  <c:formatCode>General</c:formatCode>
                  <c:ptCount val="4"/>
                  <c:pt idx="0">
                    <c:v>4.5811808144231296</c:v>
                  </c:pt>
                  <c:pt idx="1">
                    <c:v>4.8296122853006755</c:v>
                  </c:pt>
                  <c:pt idx="2">
                    <c:v>4.4960133338710584</c:v>
                  </c:pt>
                  <c:pt idx="3">
                    <c:v>4.6450987094665601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full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B0'!$B$11:$B$14</c:f>
              <c:numCache>
                <c:formatCode>0.00</c:formatCode>
                <c:ptCount val="4"/>
                <c:pt idx="0">
                  <c:v>-3.4714019405885499</c:v>
                </c:pt>
                <c:pt idx="1">
                  <c:v>-5.6066765505065197</c:v>
                </c:pt>
                <c:pt idx="2">
                  <c:v>-0.51549928692300795</c:v>
                </c:pt>
                <c:pt idx="3">
                  <c:v>1.7526265474082099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C1-480A-91E0-E71B9EC4C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 (full phon)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full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35-4DFF-A82C-6639B756F55D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35-4DFF-A82C-6639B756F55D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35-4DFF-A82C-6639B756F55D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35-4DFF-A82C-6639B756F55D}"/>
              </c:ext>
            </c:extLst>
          </c:dPt>
          <c:errBars>
            <c:errBarType val="both"/>
            <c:errValType val="cust"/>
            <c:noEndCap val="0"/>
            <c:plus>
              <c:numRef>
                <c:f>'Utt full B0'!$J$3:$J$6</c:f>
                <c:numCache>
                  <c:formatCode>General</c:formatCode>
                  <c:ptCount val="4"/>
                  <c:pt idx="0">
                    <c:v>0.94584566173512996</c:v>
                  </c:pt>
                  <c:pt idx="1">
                    <c:v>1.0320199755986634</c:v>
                  </c:pt>
                  <c:pt idx="2">
                    <c:v>0.95359683389690697</c:v>
                  </c:pt>
                  <c:pt idx="3">
                    <c:v>1.16559347449057</c:v>
                  </c:pt>
                </c:numCache>
              </c:numRef>
            </c:plus>
            <c:minus>
              <c:numRef>
                <c:f>'Utt full B0'!$J$3:$J$6</c:f>
                <c:numCache>
                  <c:formatCode>General</c:formatCode>
                  <c:ptCount val="4"/>
                  <c:pt idx="0">
                    <c:v>0.94584566173512996</c:v>
                  </c:pt>
                  <c:pt idx="1">
                    <c:v>1.0320199755986634</c:v>
                  </c:pt>
                  <c:pt idx="2">
                    <c:v>0.95359683389690697</c:v>
                  </c:pt>
                  <c:pt idx="3">
                    <c:v>1.16559347449057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full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B0'!$B$3:$B$6</c:f>
              <c:numCache>
                <c:formatCode>0.0</c:formatCode>
                <c:ptCount val="4"/>
                <c:pt idx="0">
                  <c:v>-0.418601741744975</c:v>
                </c:pt>
                <c:pt idx="1">
                  <c:v>5.4921727840636599E-2</c:v>
                </c:pt>
                <c:pt idx="2">
                  <c:v>0.15244365963015299</c:v>
                </c:pt>
                <c:pt idx="3">
                  <c:v>1.44073013611451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35-4DFF-A82C-6639B75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 b="0"/>
            </a:pPr>
            <a:r>
              <a:rPr lang="en-IE" sz="1000" b="0"/>
              <a:t>Mean contour slopes in mode-only and mode-and-phon models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'Utt Mode B0'!$B$18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dbl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B0'!$B$19:$B$20</c:f>
              <c:numCache>
                <c:formatCode>0.00</c:formatCode>
                <c:ptCount val="2"/>
                <c:pt idx="0">
                  <c:v>0.32446020972746903</c:v>
                </c:pt>
                <c:pt idx="1">
                  <c:v>-1.3715397902725308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6381-4F02-A8C4-C4742684A577}"/>
            </c:ext>
          </c:extLst>
        </c:ser>
        <c:ser>
          <c:idx val="4"/>
          <c:order val="1"/>
          <c:tx>
            <c:strRef>
              <c:f>'Utt full B0'!$B$18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A-6381-4F02-A8C4-C4742684A577}"/>
              </c:ext>
            </c:extLst>
          </c:dPt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B0'!$B$19:$B$20</c:f>
              <c:numCache>
                <c:formatCode>0.00</c:formatCode>
                <c:ptCount val="2"/>
                <c:pt idx="0">
                  <c:v>6.5242021394321252</c:v>
                </c:pt>
                <c:pt idx="1">
                  <c:v>-7.3614056229220743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81-4F02-A8C4-C4742684A577}"/>
            </c:ext>
          </c:extLst>
        </c:ser>
        <c:ser>
          <c:idx val="9"/>
          <c:order val="2"/>
          <c:tx>
            <c:strRef>
              <c:f>'Utt Mode B0'!$C$18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 cap="rnd" cmpd="dbl">
              <a:solidFill>
                <a:srgbClr val="FEA96A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B0'!$C$19:$C$20</c:f>
              <c:numCache>
                <c:formatCode>0.00</c:formatCode>
                <c:ptCount val="2"/>
                <c:pt idx="0">
                  <c:v>5.648246864893661</c:v>
                </c:pt>
                <c:pt idx="1">
                  <c:v>-5.7477531351063398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6381-4F02-A8C4-C4742684A577}"/>
            </c:ext>
          </c:extLst>
        </c:ser>
        <c:ser>
          <c:idx val="5"/>
          <c:order val="3"/>
          <c:tx>
            <c:strRef>
              <c:f>'Utt full B0'!$C$18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 cap="rnd">
              <a:solidFill>
                <a:srgbClr val="E6610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B0'!$C$19:$C$20</c:f>
              <c:numCache>
                <c:formatCode>0.00</c:formatCode>
                <c:ptCount val="2"/>
                <c:pt idx="0">
                  <c:v>11.268274828853675</c:v>
                </c:pt>
                <c:pt idx="1">
                  <c:v>-11.158431373172403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81-4F02-A8C4-C4742684A577}"/>
            </c:ext>
          </c:extLst>
        </c:ser>
        <c:ser>
          <c:idx val="10"/>
          <c:order val="4"/>
          <c:tx>
            <c:strRef>
              <c:f>'Utt Mode B0'!$D$18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ap="rnd" cmpd="dbl">
              <a:solidFill>
                <a:srgbClr val="82EACA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B0'!$D$19:$D$20</c:f>
              <c:numCache>
                <c:formatCode>0.00</c:formatCode>
                <c:ptCount val="2"/>
                <c:pt idx="0">
                  <c:v>-6.0145624266399551</c:v>
                </c:pt>
                <c:pt idx="1">
                  <c:v>6.4894375733600445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6381-4F02-A8C4-C4742684A577}"/>
            </c:ext>
          </c:extLst>
        </c:ser>
        <c:ser>
          <c:idx val="6"/>
          <c:order val="5"/>
          <c:tx>
            <c:strRef>
              <c:f>'Utt full B0'!$D$18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B0'!$D$19:$D$20</c:f>
              <c:numCache>
                <c:formatCode>0.00</c:formatCode>
                <c:ptCount val="2"/>
                <c:pt idx="0">
                  <c:v>1.1834422334761689</c:v>
                </c:pt>
                <c:pt idx="1">
                  <c:v>-0.87855491421586285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81-4F02-A8C4-C4742684A577}"/>
            </c:ext>
          </c:extLst>
        </c:ser>
        <c:ser>
          <c:idx val="11"/>
          <c:order val="6"/>
          <c:tx>
            <c:strRef>
              <c:f>'Utt Mode B0'!$E$18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ap="rnd" cmpd="dbl">
              <a:solidFill>
                <a:srgbClr val="F397C5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B0'!$E$19:$E$20</c:f>
              <c:numCache>
                <c:formatCode>0.00</c:formatCode>
                <c:ptCount val="2"/>
                <c:pt idx="0">
                  <c:v>-10.706213839197751</c:v>
                </c:pt>
                <c:pt idx="1">
                  <c:v>12.617437573360046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6381-4F02-A8C4-C4742684A577}"/>
            </c:ext>
          </c:extLst>
        </c:ser>
        <c:ser>
          <c:idx val="7"/>
          <c:order val="7"/>
          <c:tx>
            <c:strRef>
              <c:f>'Utt full B0'!$E$18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 cap="rnd">
              <a:solidFill>
                <a:srgbClr val="E7298A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B0'!$E$19:$E$20</c:f>
              <c:numCache>
                <c:formatCode>0.00</c:formatCode>
                <c:ptCount val="2"/>
                <c:pt idx="0">
                  <c:v>-2.06452295870191</c:v>
                </c:pt>
                <c:pt idx="1">
                  <c:v>3.6576967544465728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381-4F02-A8C4-C4742684A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</c:valAx>
      <c:valAx>
        <c:axId val="755857071"/>
        <c:scaling>
          <c:orientation val="minMax"/>
          <c:max val="94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 b="0"/>
            </a:pPr>
            <a:r>
              <a:rPr lang="en-IE" sz="1000" b="0"/>
              <a:t>Mean f0 in mode-only and mode-and-phon models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strRef>
              <c:f>'Utt Mode B0'!$E$23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mpd="dbl">
              <a:solidFill>
                <a:srgbClr val="F397C5"/>
              </a:solidFill>
              <a:prstDash val="lgDashDotDot"/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B0'!$E$24:$E$25</c:f>
              <c:numCache>
                <c:formatCode>0.00</c:formatCode>
                <c:ptCount val="2"/>
                <c:pt idx="0">
                  <c:v>1.67378616080225</c:v>
                </c:pt>
                <c:pt idx="1">
                  <c:v>1.67378616080225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93-4D61-A06B-CE9F73E570A1}"/>
            </c:ext>
          </c:extLst>
        </c:ser>
        <c:ser>
          <c:idx val="7"/>
          <c:order val="1"/>
          <c:tx>
            <c:strRef>
              <c:f>'Utt full B0'!$E$23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>
              <a:solidFill>
                <a:srgbClr val="E7298A"/>
              </a:solidFill>
              <a:prstDash val="lgDashDotDot"/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B0'!$E$24:$E$25</c:f>
              <c:numCache>
                <c:formatCode>0.00</c:formatCode>
                <c:ptCount val="2"/>
                <c:pt idx="0">
                  <c:v>1.44073013611451</c:v>
                </c:pt>
                <c:pt idx="1">
                  <c:v>1.44073013611451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B93-4D61-A06B-CE9F73E570A1}"/>
            </c:ext>
          </c:extLst>
        </c:ser>
        <c:ser>
          <c:idx val="10"/>
          <c:order val="2"/>
          <c:tx>
            <c:strRef>
              <c:f>'Utt Mode B0'!$D$23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mpd="dbl">
              <a:solidFill>
                <a:srgbClr val="82EACA"/>
              </a:solidFill>
              <a:prstDash val="sysDash"/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B0'!$D$24:$D$25</c:f>
              <c:numCache>
                <c:formatCode>0.00</c:formatCode>
                <c:ptCount val="2"/>
                <c:pt idx="0">
                  <c:v>0.23743757336004501</c:v>
                </c:pt>
                <c:pt idx="1">
                  <c:v>0.23743757336004501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93-4D61-A06B-CE9F73E570A1}"/>
            </c:ext>
          </c:extLst>
        </c:ser>
        <c:ser>
          <c:idx val="6"/>
          <c:order val="3"/>
          <c:tx>
            <c:strRef>
              <c:f>'Utt full B0'!$D$23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ash"/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B0'!$D$24:$D$25</c:f>
              <c:numCache>
                <c:formatCode>0.00</c:formatCode>
                <c:ptCount val="2"/>
                <c:pt idx="0">
                  <c:v>0.15244365963015299</c:v>
                </c:pt>
                <c:pt idx="1">
                  <c:v>0.15244365963015299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93-4D61-A06B-CE9F73E570A1}"/>
            </c:ext>
          </c:extLst>
        </c:ser>
        <c:ser>
          <c:idx val="9"/>
          <c:order val="4"/>
          <c:tx>
            <c:strRef>
              <c:f>'Utt Mode B0'!$C$23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>
              <a:solidFill>
                <a:srgbClr val="FEA96A"/>
              </a:solidFill>
              <a:prstDash val="dashDot"/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B0'!$C$24:$C$25</c:f>
              <c:numCache>
                <c:formatCode>0.00</c:formatCode>
                <c:ptCount val="2"/>
                <c:pt idx="0">
                  <c:v>-4.9753135106339497E-2</c:v>
                </c:pt>
                <c:pt idx="1">
                  <c:v>-4.9753135106339497E-2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93-4D61-A06B-CE9F73E570A1}"/>
            </c:ext>
          </c:extLst>
        </c:ser>
        <c:ser>
          <c:idx val="5"/>
          <c:order val="5"/>
          <c:tx>
            <c:strRef>
              <c:f>'Utt full B0'!$C$23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>
              <a:solidFill>
                <a:srgbClr val="E66101"/>
              </a:solidFill>
              <a:prstDash val="dashDot"/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B0'!$C$24:$C$25</c:f>
              <c:numCache>
                <c:formatCode>0.00</c:formatCode>
                <c:ptCount val="2"/>
                <c:pt idx="0">
                  <c:v>5.4921727840636599E-2</c:v>
                </c:pt>
                <c:pt idx="1">
                  <c:v>5.4921727840636599E-2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93-4D61-A06B-CE9F73E570A1}"/>
            </c:ext>
          </c:extLst>
        </c:ser>
        <c:ser>
          <c:idx val="8"/>
          <c:order val="6"/>
          <c:tx>
            <c:strRef>
              <c:f>'Utt Mode B0'!$B$23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dbl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B0'!$B$24:$B$25</c:f>
              <c:numCache>
                <c:formatCode>0.00</c:formatCode>
                <c:ptCount val="2"/>
                <c:pt idx="0">
                  <c:v>-0.52353979027253095</c:v>
                </c:pt>
                <c:pt idx="1">
                  <c:v>-0.52353979027253095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93-4D61-A06B-CE9F73E570A1}"/>
            </c:ext>
          </c:extLst>
        </c:ser>
        <c:ser>
          <c:idx val="4"/>
          <c:order val="7"/>
          <c:tx>
            <c:strRef>
              <c:f>'Utt full B0'!$B$23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B0'!$B$24:$B$25</c:f>
              <c:numCache>
                <c:formatCode>0.00</c:formatCode>
                <c:ptCount val="2"/>
                <c:pt idx="0">
                  <c:v>-0.418601741744975</c:v>
                </c:pt>
                <c:pt idx="1">
                  <c:v>-0.418601741744975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93-4D61-A06B-CE9F73E57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7500000000000001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5857071"/>
        <c:crosses val="autoZero"/>
        <c:crossBetween val="midCat"/>
      </c:valAx>
      <c:valAx>
        <c:axId val="755857071"/>
        <c:scaling>
          <c:orientation val="minMax"/>
          <c:min val="86"/>
        </c:scaling>
        <c:delete val="0"/>
        <c:axPos val="r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</c:spPr>
        </c:min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MDC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8"/>
          <c:order val="0"/>
          <c:tx>
            <c:strRef>
              <c:f>'Utt Mode B0'!$B$18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sng">
              <a:solidFill>
                <a:srgbClr val="7570B3"/>
              </a:solidFill>
              <a:prstDash val="sysDot"/>
            </a:ln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B0'!$B$19:$B$20</c:f>
              <c:numCache>
                <c:formatCode>0.00</c:formatCode>
                <c:ptCount val="2"/>
                <c:pt idx="0">
                  <c:v>0.32446020972746903</c:v>
                </c:pt>
                <c:pt idx="1">
                  <c:v>-1.3715397902725308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AD-46AF-B752-74DA028E898B}"/>
            </c:ext>
          </c:extLst>
        </c:ser>
        <c:ser>
          <c:idx val="4"/>
          <c:order val="1"/>
          <c:tx>
            <c:strRef>
              <c:f>'Utt full B0'!$B$18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5AD-46AF-B752-74DA028E898B}"/>
              </c:ext>
            </c:extLst>
          </c:dPt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B0'!$B$19:$B$20</c:f>
              <c:numCache>
                <c:formatCode>0.00</c:formatCode>
                <c:ptCount val="2"/>
                <c:pt idx="0">
                  <c:v>6.5242021394321252</c:v>
                </c:pt>
                <c:pt idx="1">
                  <c:v>-7.3614056229220743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AD-46AF-B752-74DA028E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2"/>
                <c:tx>
                  <c:strRef>
                    <c:extLst>
                      <c:ext uri="{02D57815-91ED-43cb-92C2-25804820EDAC}">
                        <c15:formulaRef>
                          <c15:sqref>'Utt Mode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5.648246864893661</c:v>
                      </c:pt>
                      <c:pt idx="1">
                        <c:v>-5.7477531351063398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5AD-46AF-B752-74DA028E898B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11.268274828853675</c:v>
                      </c:pt>
                      <c:pt idx="1">
                        <c:v>-11.158431373172403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5AD-46AF-B752-74DA028E898B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-6.0145624266399551</c:v>
                      </c:pt>
                      <c:pt idx="1">
                        <c:v>6.4894375733600445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5AD-46AF-B752-74DA028E898B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1.1834422334761689</c:v>
                      </c:pt>
                      <c:pt idx="1">
                        <c:v>-0.87855491421586285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5AD-46AF-B752-74DA028E898B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-10.706213839197751</c:v>
                      </c:pt>
                      <c:pt idx="1">
                        <c:v>12.617437573360046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5AD-46AF-B752-74DA028E898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-2.06452295870191</c:v>
                      </c:pt>
                      <c:pt idx="1">
                        <c:v>3.6576967544465728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5AD-46AF-B752-74DA028E898B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E" sz="10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MDC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38977389664668"/>
          <c:y val="0.23954415654170211"/>
          <c:w val="0.7058960487964725"/>
          <c:h val="0.67680550307865583"/>
        </c:manualLayout>
      </c:layout>
      <c:scatterChart>
        <c:scatterStyle val="smoothMarker"/>
        <c:varyColors val="0"/>
        <c:ser>
          <c:idx val="8"/>
          <c:order val="6"/>
          <c:tx>
            <c:strRef>
              <c:f>'Utt Mode B0'!$B$23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dbl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B0'!$B$24:$B$25</c:f>
              <c:numCache>
                <c:formatCode>0.00</c:formatCode>
                <c:ptCount val="2"/>
                <c:pt idx="0">
                  <c:v>-0.52353979027253095</c:v>
                </c:pt>
                <c:pt idx="1">
                  <c:v>-0.52353979027253095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5C-4F71-A5F6-3D2A09505B93}"/>
            </c:ext>
          </c:extLst>
        </c:ser>
        <c:ser>
          <c:idx val="4"/>
          <c:order val="7"/>
          <c:tx>
            <c:strRef>
              <c:f>'Utt full B0'!$B$23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B0'!$B$24:$B$25</c:f>
              <c:numCache>
                <c:formatCode>0.00</c:formatCode>
                <c:ptCount val="2"/>
                <c:pt idx="0">
                  <c:v>-0.418601741744975</c:v>
                </c:pt>
                <c:pt idx="1">
                  <c:v>-0.418601741744975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5C-4F71-A5F6-3D2A0950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11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Mode B0'!$E$23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F397C5"/>
                    </a:solidFill>
                    <a:prstDash val="lgDashDot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B0'!$E$24:$E$25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1.67378616080225</c:v>
                      </c:pt>
                      <c:pt idx="1">
                        <c:v>1.67378616080225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35C-4F71-A5F6-3D2A09505B93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B0'!$E$23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lgDashDot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B0'!$E$24:$E$25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1.44073013611451</c:v>
                      </c:pt>
                      <c:pt idx="1">
                        <c:v>1.44073013611451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35C-4F71-A5F6-3D2A09505B93}"/>
                  </c:ext>
                </c:extLst>
              </c15:ser>
            </c15:filteredScatterSeries>
            <c15:filteredScatterSeries>
              <c15:ser>
                <c:idx val="1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B0'!$D$23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82EACA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B0'!$D$24:$D$25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0.23743757336004501</c:v>
                      </c:pt>
                      <c:pt idx="1">
                        <c:v>0.23743757336004501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35C-4F71-A5F6-3D2A09505B93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B0'!$D$23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B0'!$D$24:$D$25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0.15244365963015299</c:v>
                      </c:pt>
                      <c:pt idx="1">
                        <c:v>0.15244365963015299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35C-4F71-A5F6-3D2A09505B93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B0'!$C$23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>
                    <a:solidFill>
                      <a:srgbClr val="FEA96A"/>
                    </a:solidFill>
                    <a:prstDash val="dash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B0'!$C$24:$C$25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-4.9753135106339497E-2</c:v>
                      </c:pt>
                      <c:pt idx="1">
                        <c:v>-4.9753135106339497E-2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5C-4F71-A5F6-3D2A09505B9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B0'!$C$23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>
                    <a:solidFill>
                      <a:srgbClr val="E66101"/>
                    </a:solidFill>
                    <a:prstDash val="dash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B0'!$C$24:$C$25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5.4921727840636599E-2</c:v>
                      </c:pt>
                      <c:pt idx="1">
                        <c:v>5.4921727840636599E-2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35C-4F71-A5F6-3D2A09505B93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1"/>
          <c:min val="-0.5"/>
        </c:scaling>
        <c:delete val="1"/>
        <c:axPos val="b"/>
        <c:numFmt formatCode="General" sourceLinked="1"/>
        <c:majorTickMark val="out"/>
        <c:minorTickMark val="none"/>
        <c:tickLblPos val="nextTo"/>
        <c:crossAx val="755857071"/>
        <c:crosses val="autoZero"/>
        <c:crossBetween val="midCat"/>
      </c:valAx>
      <c:valAx>
        <c:axId val="755857071"/>
        <c:scaling>
          <c:orientation val="minMax"/>
          <c:max val="88"/>
          <c:min val="86"/>
        </c:scaling>
        <c:delete val="0"/>
        <c:axPos val="r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IE" b="0"/>
                  <a:t>ST re 1 Hz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755857903"/>
        <c:crosses val="max"/>
        <c:crossBetween val="midCat"/>
        <c:majorUnit val="2"/>
        <c:minorUnit val="0.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MWH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9"/>
          <c:order val="2"/>
          <c:tx>
            <c:strRef>
              <c:f>'Utt Mode B0'!$C$18</c:f>
              <c:strCache>
                <c:ptCount val="1"/>
                <c:pt idx="0">
                  <c:v>MWH (mode-only)</c:v>
                </c:pt>
              </c:strCache>
              <c:extLst xmlns:c15="http://schemas.microsoft.com/office/drawing/2012/chart"/>
            </c:strRef>
          </c:tx>
          <c:spPr>
            <a:ln w="25400" cap="rnd" cmpd="sng">
              <a:solidFill>
                <a:srgbClr val="E6610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 B0'!$C$19:$C$20</c:f>
              <c:numCache>
                <c:formatCode>0.00</c:formatCode>
                <c:ptCount val="2"/>
                <c:pt idx="0">
                  <c:v>5.648246864893661</c:v>
                </c:pt>
                <c:pt idx="1">
                  <c:v>-5.7477531351063398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0F65-4F68-BC88-AC7F78A9CC58}"/>
            </c:ext>
          </c:extLst>
        </c:ser>
        <c:ser>
          <c:idx val="5"/>
          <c:order val="3"/>
          <c:tx>
            <c:strRef>
              <c:f>'Utt full B0'!$C$18</c:f>
              <c:strCache>
                <c:ptCount val="1"/>
                <c:pt idx="0">
                  <c:v>MWH (mode-and-phon)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E6610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full B0'!$C$19:$C$20</c:f>
              <c:numCache>
                <c:formatCode>0.00</c:formatCode>
                <c:ptCount val="2"/>
                <c:pt idx="0">
                  <c:v>11.268274828853675</c:v>
                </c:pt>
                <c:pt idx="1">
                  <c:v>-11.158431373172403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0F65-4F68-BC88-AC7F78A9C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Mode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0.32446020972746903</c:v>
                      </c:pt>
                      <c:pt idx="1">
                        <c:v>-1.3715397902725308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F65-4F68-BC88-AC7F78A9CC58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(mode-and-phon)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0F65-4F68-BC88-AC7F78A9CC58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6.5242021394321252</c:v>
                      </c:pt>
                      <c:pt idx="1">
                        <c:v>-7.3614056229220743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F65-4F68-BC88-AC7F78A9CC58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-6.0145624266399551</c:v>
                      </c:pt>
                      <c:pt idx="1">
                        <c:v>6.4894375733600445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65-4F68-BC88-AC7F78A9CC58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1.1834422334761689</c:v>
                      </c:pt>
                      <c:pt idx="1">
                        <c:v>-0.87855491421586285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65-4F68-BC88-AC7F78A9CC58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-10.706213839197751</c:v>
                      </c:pt>
                      <c:pt idx="1">
                        <c:v>12.617437573360046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65-4F68-BC88-AC7F78A9CC5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-2.06452295870191</c:v>
                      </c:pt>
                      <c:pt idx="1">
                        <c:v>3.6576967544465728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65-4F68-BC88-AC7F78A9CC58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MYN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10"/>
          <c:order val="4"/>
          <c:tx>
            <c:strRef>
              <c:f>'Utt Mode B0'!$D$18</c:f>
              <c:strCache>
                <c:ptCount val="1"/>
                <c:pt idx="0">
                  <c:v>MYN (mode-only)</c:v>
                </c:pt>
              </c:strCache>
              <c:extLst xmlns:c15="http://schemas.microsoft.com/office/drawing/2012/chart"/>
            </c:strRef>
          </c:tx>
          <c:spPr>
            <a:ln w="25400" cap="rnd" cmpd="sng">
              <a:solidFill>
                <a:srgbClr val="1B9E77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 B0'!$D$19:$D$20</c:f>
              <c:numCache>
                <c:formatCode>0.00</c:formatCode>
                <c:ptCount val="2"/>
                <c:pt idx="0">
                  <c:v>-6.0145624266399551</c:v>
                </c:pt>
                <c:pt idx="1">
                  <c:v>6.4894375733600445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86E8-4B20-9998-4E8A4FD423EC}"/>
            </c:ext>
          </c:extLst>
        </c:ser>
        <c:ser>
          <c:idx val="6"/>
          <c:order val="5"/>
          <c:tx>
            <c:strRef>
              <c:f>'Utt full B0'!$D$18</c:f>
              <c:strCache>
                <c:ptCount val="1"/>
                <c:pt idx="0">
                  <c:v>MYN (mode-and-phon)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1B9E77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full B0'!$D$19:$D$20</c:f>
              <c:numCache>
                <c:formatCode>0.00</c:formatCode>
                <c:ptCount val="2"/>
                <c:pt idx="0">
                  <c:v>1.1834422334761689</c:v>
                </c:pt>
                <c:pt idx="1">
                  <c:v>-0.87855491421586285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86E8-4B20-9998-4E8A4FD4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Mode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0.32446020972746903</c:v>
                      </c:pt>
                      <c:pt idx="1">
                        <c:v>-1.3715397902725308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6E8-4B20-9998-4E8A4FD423EC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(mode-and-phon)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86E8-4B20-9998-4E8A4FD423EC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6.5242021394321252</c:v>
                      </c:pt>
                      <c:pt idx="1">
                        <c:v>-7.3614056229220743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E8-4B20-9998-4E8A4FD423EC}"/>
                  </c:ext>
                </c:extLst>
              </c15:ser>
            </c15:filteredScatterSeries>
            <c15:filteredScatterSeries>
              <c15:ser>
                <c:idx val="9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5.648246864893661</c:v>
                      </c:pt>
                      <c:pt idx="1">
                        <c:v>-5.7477531351063398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E8-4B20-9998-4E8A4FD423EC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11.268274828853675</c:v>
                      </c:pt>
                      <c:pt idx="1">
                        <c:v>-11.158431373172403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E8-4B20-9998-4E8A4FD423EC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-10.706213839197751</c:v>
                      </c:pt>
                      <c:pt idx="1">
                        <c:v>12.617437573360046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E8-4B20-9998-4E8A4FD423E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-2.06452295870191</c:v>
                      </c:pt>
                      <c:pt idx="1">
                        <c:v>3.6576967544465728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E8-4B20-9998-4E8A4FD423EC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E" sz="1000" b="0"/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MDQ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11"/>
          <c:order val="6"/>
          <c:tx>
            <c:strRef>
              <c:f>'Utt Mode B0'!$E$18</c:f>
              <c:strCache>
                <c:ptCount val="1"/>
                <c:pt idx="0">
                  <c:v>MDQ (mode-only)</c:v>
                </c:pt>
              </c:strCache>
              <c:extLst xmlns:c15="http://schemas.microsoft.com/office/drawing/2012/chart"/>
            </c:strRef>
          </c:tx>
          <c:spPr>
            <a:ln w="25400" cap="rnd" cmpd="sng">
              <a:solidFill>
                <a:srgbClr val="E7298A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 B0'!$E$19:$E$20</c:f>
              <c:numCache>
                <c:formatCode>0.00</c:formatCode>
                <c:ptCount val="2"/>
                <c:pt idx="0">
                  <c:v>-10.706213839197751</c:v>
                </c:pt>
                <c:pt idx="1">
                  <c:v>12.617437573360046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1A3F-4E8A-9E76-E072395C419C}"/>
            </c:ext>
          </c:extLst>
        </c:ser>
        <c:ser>
          <c:idx val="7"/>
          <c:order val="7"/>
          <c:tx>
            <c:strRef>
              <c:f>'Utt full B0'!$E$18</c:f>
              <c:strCache>
                <c:ptCount val="1"/>
                <c:pt idx="0">
                  <c:v>MDQ (mode-and-phon)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E7298A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full B0'!$E$19:$E$20</c:f>
              <c:numCache>
                <c:formatCode>0.00</c:formatCode>
                <c:ptCount val="2"/>
                <c:pt idx="0">
                  <c:v>-2.06452295870191</c:v>
                </c:pt>
                <c:pt idx="1">
                  <c:v>3.6576967544465728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1A3F-4E8A-9E76-E072395C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Mode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0.32446020972746903</c:v>
                      </c:pt>
                      <c:pt idx="1">
                        <c:v>-1.3715397902725308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A3F-4E8A-9E76-E072395C419C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(mode-and-phon)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1A3F-4E8A-9E76-E072395C419C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6.5242021394321252</c:v>
                      </c:pt>
                      <c:pt idx="1">
                        <c:v>-7.3614056229220743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3F-4E8A-9E76-E072395C419C}"/>
                  </c:ext>
                </c:extLst>
              </c15:ser>
            </c15:filteredScatterSeries>
            <c15:filteredScatterSeries>
              <c15:ser>
                <c:idx val="9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5.648246864893661</c:v>
                      </c:pt>
                      <c:pt idx="1">
                        <c:v>-5.7477531351063398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3F-4E8A-9E76-E072395C419C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11.268274828853675</c:v>
                      </c:pt>
                      <c:pt idx="1">
                        <c:v>-11.158431373172403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A3F-4E8A-9E76-E072395C419C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-6.0145624266399551</c:v>
                      </c:pt>
                      <c:pt idx="1">
                        <c:v>6.4894375733600445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A3F-4E8A-9E76-E072395C419C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1.1834422334761689</c:v>
                      </c:pt>
                      <c:pt idx="1">
                        <c:v>-0.87855491421586285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A3F-4E8A-9E76-E072395C419C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E" sz="1000" b="0"/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mean f0 and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'Utt full B0'!$B$18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E497-4D6D-B9AD-5F0011DECD8A}"/>
              </c:ext>
            </c:extLst>
          </c:dPt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B0'!$B$19:$B$20</c:f>
              <c:numCache>
                <c:formatCode>0.00</c:formatCode>
                <c:ptCount val="2"/>
                <c:pt idx="0">
                  <c:v>6.5242021394321252</c:v>
                </c:pt>
                <c:pt idx="1">
                  <c:v>-7.3614056229220743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7-4D6D-B9AD-5F0011DECD8A}"/>
            </c:ext>
          </c:extLst>
        </c:ser>
        <c:ser>
          <c:idx val="5"/>
          <c:order val="1"/>
          <c:tx>
            <c:strRef>
              <c:f>'Utt full B0'!$C$18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 cap="rnd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B0'!$C$19:$C$20</c:f>
              <c:numCache>
                <c:formatCode>0.00</c:formatCode>
                <c:ptCount val="2"/>
                <c:pt idx="0">
                  <c:v>11.268274828853675</c:v>
                </c:pt>
                <c:pt idx="1">
                  <c:v>-11.158431373172403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7-4D6D-B9AD-5F0011DECD8A}"/>
            </c:ext>
          </c:extLst>
        </c:ser>
        <c:ser>
          <c:idx val="6"/>
          <c:order val="2"/>
          <c:tx>
            <c:strRef>
              <c:f>'Utt full B0'!$D$18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B0'!$D$19:$D$20</c:f>
              <c:numCache>
                <c:formatCode>0.00</c:formatCode>
                <c:ptCount val="2"/>
                <c:pt idx="0">
                  <c:v>1.1834422334761689</c:v>
                </c:pt>
                <c:pt idx="1">
                  <c:v>-0.87855491421586285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7-4D6D-B9AD-5F0011DECD8A}"/>
            </c:ext>
          </c:extLst>
        </c:ser>
        <c:ser>
          <c:idx val="7"/>
          <c:order val="3"/>
          <c:tx>
            <c:strRef>
              <c:f>'Utt full B0'!$E$18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 cap="rnd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B0'!$E$19:$E$20</c:f>
              <c:numCache>
                <c:formatCode>0.00</c:formatCode>
                <c:ptCount val="2"/>
                <c:pt idx="0">
                  <c:v>-2.06452295870191</c:v>
                </c:pt>
                <c:pt idx="1">
                  <c:v>3.6576967544465728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7-4D6D-B9AD-5F0011DECD8A}"/>
            </c:ext>
          </c:extLst>
        </c:ser>
        <c:ser>
          <c:idx val="1"/>
          <c:order val="4"/>
          <c:tx>
            <c:strRef>
              <c:f>'Utt full B0'!$D$23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 cmpd="dbl">
              <a:solidFill>
                <a:srgbClr val="1B9E77"/>
              </a:solidFill>
              <a:prstDash val="sysDash"/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B0'!$D$24:$D$25</c:f>
              <c:numCache>
                <c:formatCode>0.00</c:formatCode>
                <c:ptCount val="2"/>
                <c:pt idx="0">
                  <c:v>0.15244365963015299</c:v>
                </c:pt>
                <c:pt idx="1">
                  <c:v>0.15244365963015299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7-4D6D-B9AD-5F0011DECD8A}"/>
            </c:ext>
          </c:extLst>
        </c:ser>
        <c:ser>
          <c:idx val="2"/>
          <c:order val="5"/>
          <c:tx>
            <c:strRef>
              <c:f>'Utt full B0'!$C$23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 cap="rnd" cmpd="dbl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B0'!$C$24:$C$25</c:f>
              <c:numCache>
                <c:formatCode>0.00</c:formatCode>
                <c:ptCount val="2"/>
                <c:pt idx="0">
                  <c:v>5.4921727840636599E-2</c:v>
                </c:pt>
                <c:pt idx="1">
                  <c:v>5.4921727840636599E-2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7-4D6D-B9AD-5F0011DECD8A}"/>
            </c:ext>
          </c:extLst>
        </c:ser>
        <c:ser>
          <c:idx val="3"/>
          <c:order val="6"/>
          <c:tx>
            <c:strRef>
              <c:f>'Utt full B0'!$B$23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 cap="rnd" cmpd="dbl">
              <a:solidFill>
                <a:srgbClr val="7570B3"/>
              </a:solidFill>
              <a:round/>
            </a:ln>
            <a:effectLst/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B0'!$B$24:$B$25</c:f>
              <c:numCache>
                <c:formatCode>0.00</c:formatCode>
                <c:ptCount val="2"/>
                <c:pt idx="0">
                  <c:v>-0.418601741744975</c:v>
                </c:pt>
                <c:pt idx="1">
                  <c:v>-0.418601741744975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7-4D6D-B9AD-5F0011DECD8A}"/>
            </c:ext>
          </c:extLst>
        </c:ser>
        <c:ser>
          <c:idx val="0"/>
          <c:order val="7"/>
          <c:tx>
            <c:strRef>
              <c:f>'Utt full B0'!$E$23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 cap="rnd" cmpd="dbl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B0'!$E$24:$E$25</c:f>
              <c:numCache>
                <c:formatCode>0.00</c:formatCode>
                <c:ptCount val="2"/>
                <c:pt idx="0">
                  <c:v>1.44073013611451</c:v>
                </c:pt>
                <c:pt idx="1">
                  <c:v>1.44073013611451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97-4D6D-B9AD-5F0011DEC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 val="autoZero"/>
        <c:crossBetween val="midCat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 val="max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C-4085-B236-D1ADF81E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'Utt Mode B0'!$F$23</c:f>
              <c:strCache>
                <c:ptCount val="1"/>
                <c:pt idx="0">
                  <c:v>ave  mean f0 (mode-only)</c:v>
                </c:pt>
              </c:strCache>
            </c:strRef>
          </c:tx>
          <c:spPr>
            <a:ln w="25400" cap="rnd" cmpd="dbl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B0'!$F$24:$F$25</c:f>
              <c:numCache>
                <c:formatCode>0.00</c:formatCode>
                <c:ptCount val="2"/>
                <c:pt idx="0">
                  <c:v>0.33448270219585613</c:v>
                </c:pt>
                <c:pt idx="1">
                  <c:v>0.33448270219585613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A-400F-9736-963BC27D6712}"/>
            </c:ext>
          </c:extLst>
        </c:ser>
        <c:ser>
          <c:idx val="2"/>
          <c:order val="1"/>
          <c:tx>
            <c:strRef>
              <c:f>'Utt Mode B0'!$F$18</c:f>
              <c:strCache>
                <c:ptCount val="1"/>
                <c:pt idx="0">
                  <c:v>ave slope (mode only)</c:v>
                </c:pt>
              </c:strCache>
            </c:strRef>
          </c:tx>
          <c:spPr>
            <a:ln w="38100" cap="rnd" cmpd="dbl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B0'!$F$19:$F$20</c:f>
              <c:numCache>
                <c:formatCode>0.00</c:formatCode>
                <c:ptCount val="2"/>
                <c:pt idx="0">
                  <c:v>-2.687017297804144</c:v>
                </c:pt>
                <c:pt idx="1">
                  <c:v>3.3559827021958561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1A-400F-9736-963BC27D6712}"/>
            </c:ext>
          </c:extLst>
        </c:ser>
        <c:ser>
          <c:idx val="0"/>
          <c:order val="2"/>
          <c:tx>
            <c:strRef>
              <c:f>'Utt full B0'!$F$23</c:f>
              <c:strCache>
                <c:ptCount val="1"/>
                <c:pt idx="0">
                  <c:v>ave  mean f0 (mode-and-phon)</c:v>
                </c:pt>
              </c:strCache>
            </c:strRef>
          </c:tx>
          <c:spPr>
            <a:ln w="25400" cap="rnd" cmpd="sng">
              <a:solidFill>
                <a:srgbClr val="E6610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B0'!$F$24:$F$25</c:f>
              <c:numCache>
                <c:formatCode>0.00</c:formatCode>
                <c:ptCount val="2"/>
                <c:pt idx="0">
                  <c:v>0.30737344546008116</c:v>
                </c:pt>
                <c:pt idx="1">
                  <c:v>0.30737344546008116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1A-400F-9736-963BC27D6712}"/>
            </c:ext>
          </c:extLst>
        </c:ser>
        <c:ser>
          <c:idx val="3"/>
          <c:order val="3"/>
          <c:tx>
            <c:strRef>
              <c:f>'Utt full B0'!$F$18</c:f>
              <c:strCache>
                <c:ptCount val="1"/>
                <c:pt idx="0">
                  <c:v>ave slope (mode-and-phon)</c:v>
                </c:pt>
              </c:strCache>
            </c:strRef>
          </c:tx>
          <c:spPr>
            <a:ln w="38100" cap="rnd" cmpd="sng">
              <a:solidFill>
                <a:srgbClr val="E66101"/>
              </a:solidFill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B0'!$F$19:$F$20</c:f>
              <c:numCache>
                <c:formatCode>0.00</c:formatCode>
                <c:ptCount val="2"/>
                <c:pt idx="0">
                  <c:v>4.2278490607650152</c:v>
                </c:pt>
                <c:pt idx="1">
                  <c:v>-3.6131021698448533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1A-400F-9736-963BC27D6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0000000000000007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At val="80"/>
        <c:crossBetween val="midCat"/>
        <c:majorUnit val="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At val="-1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 f0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B1'!$A$1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B1'!$K$3:$K$8</c:f>
                <c:numCache>
                  <c:formatCode>General</c:formatCode>
                  <c:ptCount val="6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</c:numCache>
              </c:numRef>
            </c:plus>
            <c:minus>
              <c:numRef>
                <c:f>'Utt B1'!$K$3:$K$8</c:f>
                <c:numCache>
                  <c:formatCode>General</c:formatCode>
                  <c:ptCount val="6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B1'!$C$3:$C$8</c:f>
              <c:numCache>
                <c:formatCode>0.0</c:formatCode>
                <c:ptCount val="6"/>
                <c:pt idx="0">
                  <c:v>0.47378459260777001</c:v>
                </c:pt>
                <c:pt idx="1">
                  <c:v>0.76097638133650203</c:v>
                </c:pt>
                <c:pt idx="2">
                  <c:v>2.1973305450155798</c:v>
                </c:pt>
                <c:pt idx="3">
                  <c:v>0.28719182728667603</c:v>
                </c:pt>
                <c:pt idx="4">
                  <c:v>1.72354596224421</c:v>
                </c:pt>
                <c:pt idx="5">
                  <c:v>1.4363541724389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7-4BDF-980E-1228E370A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Slope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B1'!$A$12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B1'!$K$14:$K$19</c:f>
                <c:numCache>
                  <c:formatCode>General</c:formatCode>
                  <c:ptCount val="6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</c:numCache>
              </c:numRef>
            </c:plus>
            <c:minus>
              <c:numRef>
                <c:f>'Utt B1'!$K$14:$K$19</c:f>
                <c:numCache>
                  <c:formatCode>General</c:formatCode>
                  <c:ptCount val="6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B1'!$C$14:$C$19</c:f>
              <c:numCache>
                <c:formatCode>0.00</c:formatCode>
                <c:ptCount val="6"/>
                <c:pt idx="0">
                  <c:v>-2.42388123109864</c:v>
                </c:pt>
                <c:pt idx="1">
                  <c:v>3.5497518552582199</c:v>
                </c:pt>
                <c:pt idx="2">
                  <c:v>6.60866325868583</c:v>
                </c:pt>
                <c:pt idx="3">
                  <c:v>5.9736332606028402</c:v>
                </c:pt>
                <c:pt idx="4">
                  <c:v>9.0325449853367594</c:v>
                </c:pt>
                <c:pt idx="5">
                  <c:v>3.0589118485968601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0-42A1-89F5-B4D86035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B1'!$C$2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E314666-BFED-413A-962D-7200E1ACCA97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88-46D9-AD3B-C02FC1BD9BD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604364C-31D4-4642-8B83-4A25D92AB90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88-46D9-AD3B-C02FC1BD9BD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D74973-7646-4E4A-9699-5E914C26007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88-46D9-AD3B-C02FC1BD9BD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B547F36-567C-426A-9479-87CB1BAB3FE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88-46D9-AD3B-C02FC1BD9BD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016E649-9222-4659-9968-B956BC06909B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88-46D9-AD3B-C02FC1BD9BD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9E28FA9-3D8C-44F8-B432-A52D9DB8AD9A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88-46D9-AD3B-C02FC1BD9BD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74B1337-1A0B-420D-8E8A-327C11A4CC3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88-46D9-AD3B-C02FC1BD9BDC}"/>
                </c:ext>
              </c:extLst>
            </c:dLbl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25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B1'!$K$3:$K$9</c:f>
                <c:numCache>
                  <c:formatCode>General</c:formatCode>
                  <c:ptCount val="7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  <c:pt idx="6">
                    <c:v>0.29547081719958801</c:v>
                  </c:pt>
                </c:numCache>
              </c:numRef>
            </c:plus>
            <c:minus>
              <c:numRef>
                <c:f>'Utt B1'!$K$3:$K$9</c:f>
                <c:numCache>
                  <c:formatCode>General</c:formatCode>
                  <c:ptCount val="7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  <c:pt idx="6">
                    <c:v>0.29547081719958801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'[42]H% no reg tier'!$J$3:$J$9</c:f>
              <c:strCache>
                <c:ptCount val="7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  <c:pt idx="6">
                  <c:v>F M</c:v>
                </c:pt>
              </c:strCache>
            </c:strRef>
          </c:cat>
          <c:val>
            <c:numRef>
              <c:f>'Utt B1'!$C$3:$C$9</c:f>
              <c:numCache>
                <c:formatCode>0.0</c:formatCode>
                <c:ptCount val="7"/>
                <c:pt idx="0">
                  <c:v>0.47378459260777001</c:v>
                </c:pt>
                <c:pt idx="1">
                  <c:v>0.76097638133650203</c:v>
                </c:pt>
                <c:pt idx="2">
                  <c:v>2.1973305450155798</c:v>
                </c:pt>
                <c:pt idx="3">
                  <c:v>0.28719182728667603</c:v>
                </c:pt>
                <c:pt idx="4">
                  <c:v>1.72354596224421</c:v>
                </c:pt>
                <c:pt idx="5">
                  <c:v>1.4363541724389</c:v>
                </c:pt>
                <c:pt idx="6">
                  <c:v>0.126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B1'!$C$3:$C$9</c15:f>
                <c15:dlblRangeCache>
                  <c:ptCount val="7"/>
                  <c:pt idx="0">
                    <c:v>0.5</c:v>
                  </c:pt>
                  <c:pt idx="1">
                    <c:v>0.8</c:v>
                  </c:pt>
                  <c:pt idx="2">
                    <c:v>2.2</c:v>
                  </c:pt>
                  <c:pt idx="3">
                    <c:v>0.3</c:v>
                  </c:pt>
                  <c:pt idx="4">
                    <c:v>1.7</c:v>
                  </c:pt>
                  <c:pt idx="5">
                    <c:v>1.4</c:v>
                  </c:pt>
                  <c:pt idx="6">
                    <c:v>0.1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FA88-46D9-AD3B-C02FC1BD9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B1'!$C$13</c:f>
              <c:strCache>
                <c:ptCount val="1"/>
                <c:pt idx="0">
                  <c:v>ST/s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DC5EC80-34D4-4693-AFEF-CD717B502DB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E4C-4D5D-A453-4C511DB6758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FB4682-B40C-434C-A83E-F1F249F980C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4C-4D5D-A453-4C511DB6758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76F8883-B1CD-46DC-A9B3-1E50D23F43B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E4C-4D5D-A453-4C511DB6758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2671DE4-A98A-4E10-BCB1-73D13A209A59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E4C-4D5D-A453-4C511DB6758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22916F9-AD78-4346-B917-B0651672E48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E4C-4D5D-A453-4C511DB6758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4819318-7DA0-45C8-91D1-42895F5B4F8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E4C-4D5D-A453-4C511DB6758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9A195F5-C8CC-4301-A982-E3C5F9245A82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E4C-4D5D-A453-4C511DB6758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3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B1'!$K$14:$K$20</c:f>
                <c:numCache>
                  <c:formatCode>General</c:formatCode>
                  <c:ptCount val="7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  <c:pt idx="6">
                    <c:v>1.1047317099483829</c:v>
                  </c:pt>
                </c:numCache>
              </c:numRef>
            </c:plus>
            <c:minus>
              <c:numRef>
                <c:f>'Utt B1'!$K$14:$K$20</c:f>
                <c:numCache>
                  <c:formatCode>General</c:formatCode>
                  <c:ptCount val="7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  <c:pt idx="6">
                    <c:v>1.1047317099483829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'[42]H% no reg tier'!$J$3:$J$9</c:f>
              <c:strCache>
                <c:ptCount val="7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  <c:pt idx="6">
                  <c:v>F M</c:v>
                </c:pt>
              </c:strCache>
            </c:strRef>
          </c:cat>
          <c:val>
            <c:numRef>
              <c:f>'Utt B1'!$C$14:$C$20</c:f>
              <c:numCache>
                <c:formatCode>0.00</c:formatCode>
                <c:ptCount val="7"/>
                <c:pt idx="0">
                  <c:v>-2.42388123109864</c:v>
                </c:pt>
                <c:pt idx="1">
                  <c:v>3.5497518552582199</c:v>
                </c:pt>
                <c:pt idx="2">
                  <c:v>6.60866325868583</c:v>
                </c:pt>
                <c:pt idx="3">
                  <c:v>5.9736332606028402</c:v>
                </c:pt>
                <c:pt idx="4">
                  <c:v>9.0325449853367594</c:v>
                </c:pt>
                <c:pt idx="5">
                  <c:v>3.0589118485968601</c:v>
                </c:pt>
                <c:pt idx="6">
                  <c:v>1.454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B1'!$C$14:$C$20</c15:f>
                <c15:dlblRangeCache>
                  <c:ptCount val="7"/>
                  <c:pt idx="0">
                    <c:v>-2.42</c:v>
                  </c:pt>
                  <c:pt idx="1">
                    <c:v>3.55</c:v>
                  </c:pt>
                  <c:pt idx="2">
                    <c:v>6.61</c:v>
                  </c:pt>
                  <c:pt idx="3">
                    <c:v>5.97</c:v>
                  </c:pt>
                  <c:pt idx="4">
                    <c:v>9.03</c:v>
                  </c:pt>
                  <c:pt idx="5">
                    <c:v>3.06</c:v>
                  </c:pt>
                  <c:pt idx="6">
                    <c:v>1.45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5E4C-4D5D-A453-4C511DB67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ST/s)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Mean f0 (full phon)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full B1'!$A$1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B1'!$K$3:$K$8</c:f>
                <c:numCache>
                  <c:formatCode>General</c:formatCode>
                  <c:ptCount val="6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</c:numCache>
              </c:numRef>
            </c:plus>
            <c:minus>
              <c:numRef>
                <c:f>'Utt full B1'!$K$3:$K$8</c:f>
                <c:numCache>
                  <c:formatCode>General</c:formatCode>
                  <c:ptCount val="6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B1'!$C$3:$C$8</c:f>
              <c:numCache>
                <c:formatCode>0.0</c:formatCode>
                <c:ptCount val="6"/>
                <c:pt idx="0">
                  <c:v>0.47338353537875799</c:v>
                </c:pt>
                <c:pt idx="1">
                  <c:v>0.57088479025351102</c:v>
                </c:pt>
                <c:pt idx="2">
                  <c:v>1.8592129521480001</c:v>
                </c:pt>
                <c:pt idx="3">
                  <c:v>9.7513351019307901E-2</c:v>
                </c:pt>
                <c:pt idx="4">
                  <c:v>1.38587502812868</c:v>
                </c:pt>
                <c:pt idx="5">
                  <c:v>1.2883524321031801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9-4B56-A393-FDCFE68B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Slope (full phon)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full B1'!$A$12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B1'!$K$14:$K$19</c:f>
                <c:numCache>
                  <c:formatCode>General</c:formatCode>
                  <c:ptCount val="6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</c:numCache>
              </c:numRef>
            </c:plus>
            <c:minus>
              <c:numRef>
                <c:f>'Utt full B1'!$K$14:$K$19</c:f>
                <c:numCache>
                  <c:formatCode>General</c:formatCode>
                  <c:ptCount val="6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B1'!$C$14:$C$19</c:f>
              <c:numCache>
                <c:formatCode>0.00</c:formatCode>
                <c:ptCount val="6"/>
                <c:pt idx="0">
                  <c:v>-2.1352459764041201</c:v>
                </c:pt>
                <c:pt idx="1">
                  <c:v>2.9558935561294102</c:v>
                </c:pt>
                <c:pt idx="2">
                  <c:v>5.2240445812056704</c:v>
                </c:pt>
                <c:pt idx="3">
                  <c:v>5.0911283555781299</c:v>
                </c:pt>
                <c:pt idx="4">
                  <c:v>7.3592817949925999</c:v>
                </c:pt>
                <c:pt idx="5">
                  <c:v>2.26815124150832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8-45B0-B293-3D12E549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full B1'!$C$2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FC6C331-D0E1-44EC-A47E-1D93C0B188D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FA9-4B0E-BE33-63933753199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1F3A53-3073-4D0B-BDA3-08AC015C17E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FA9-4B0E-BE33-63933753199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FE322DA-7B47-4C42-96BD-A0AD69FC50BC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FA9-4B0E-BE33-63933753199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72F070B-2B24-4C16-A989-BD8332FF3A9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FA9-4B0E-BE33-63933753199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ACED4B9-97E4-4A04-A9E1-516C52B1421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FA9-4B0E-BE33-63933753199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7BDC8F6-3153-49BE-9E66-941A020E607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FA9-4B0E-BE33-63933753199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AAC946E-0486-4A1C-B2A1-79C7119CFB48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FA9-4B0E-BE33-63933753199F}"/>
                </c:ext>
              </c:extLst>
            </c:dLbl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25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full B1'!$K$3:$K$9</c:f>
                <c:numCache>
                  <c:formatCode>General</c:formatCode>
                  <c:ptCount val="7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  <c:pt idx="6">
                    <c:v>0.34639941663879098</c:v>
                  </c:pt>
                </c:numCache>
              </c:numRef>
            </c:plus>
            <c:minus>
              <c:numRef>
                <c:f>'Utt full B1'!$K$3:$K$9</c:f>
                <c:numCache>
                  <c:formatCode>General</c:formatCode>
                  <c:ptCount val="7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  <c:pt idx="6">
                    <c:v>0.34639941663879098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'[42]H% no reg tier'!$J$3:$J$9</c:f>
              <c:strCache>
                <c:ptCount val="7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  <c:pt idx="6">
                  <c:v>F M</c:v>
                </c:pt>
              </c:strCache>
            </c:strRef>
          </c:cat>
          <c:val>
            <c:numRef>
              <c:f>'Utt full B1'!$C$3:$C$9</c:f>
              <c:numCache>
                <c:formatCode>0.0</c:formatCode>
                <c:ptCount val="7"/>
                <c:pt idx="0">
                  <c:v>0.47338353537875799</c:v>
                </c:pt>
                <c:pt idx="1">
                  <c:v>0.57088479025351102</c:v>
                </c:pt>
                <c:pt idx="2">
                  <c:v>1.8592129521480001</c:v>
                </c:pt>
                <c:pt idx="3">
                  <c:v>9.7513351019307901E-2</c:v>
                </c:pt>
                <c:pt idx="4">
                  <c:v>1.38587502812868</c:v>
                </c:pt>
                <c:pt idx="5">
                  <c:v>1.2883524321031801</c:v>
                </c:pt>
                <c:pt idx="6">
                  <c:v>-6.5000000000000002E-2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full B1'!$C$3:$C$9</c15:f>
                <c15:dlblRangeCache>
                  <c:ptCount val="7"/>
                  <c:pt idx="0">
                    <c:v>0.5</c:v>
                  </c:pt>
                  <c:pt idx="1">
                    <c:v>0.6</c:v>
                  </c:pt>
                  <c:pt idx="2">
                    <c:v>1.9</c:v>
                  </c:pt>
                  <c:pt idx="3">
                    <c:v>0.1</c:v>
                  </c:pt>
                  <c:pt idx="4">
                    <c:v>1.4</c:v>
                  </c:pt>
                  <c:pt idx="5">
                    <c:v>1.3</c:v>
                  </c:pt>
                  <c:pt idx="6">
                    <c:v>-0.1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1FA9-4B0E-BE33-63933753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full B1'!$C$13</c:f>
              <c:strCache>
                <c:ptCount val="1"/>
                <c:pt idx="0">
                  <c:v>ST/s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865B177-4944-41F3-9ACE-3CB1B1B0007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7E-44C1-AAB0-20C99A0FC21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44789B-0F9B-4A33-B647-CC2A2CD509C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7E-44C1-AAB0-20C99A0FC21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AB7BE75-E944-4F8E-B1DB-A82AF793040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D7E-44C1-AAB0-20C99A0FC21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EB24D3A-D429-44C5-B3FE-1BA0D97684C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D7E-44C1-AAB0-20C99A0FC21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3A5328-31D9-460A-8A59-6C07E60840D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D7E-44C1-AAB0-20C99A0FC21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EF274B1-C848-4BC3-9E6C-F8057C05842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D7E-44C1-AAB0-20C99A0FC21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85CCC30-617E-448A-BBD7-68A7A8DA261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D7E-44C1-AAB0-20C99A0FC21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3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full B1'!$K$14:$K$20</c:f>
                <c:numCache>
                  <c:formatCode>General</c:formatCode>
                  <c:ptCount val="7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  <c:pt idx="6">
                    <c:v>0.94221931013233018</c:v>
                  </c:pt>
                </c:numCache>
              </c:numRef>
            </c:plus>
            <c:minus>
              <c:numRef>
                <c:f>'Utt full B1'!$K$14:$K$20</c:f>
                <c:numCache>
                  <c:formatCode>General</c:formatCode>
                  <c:ptCount val="7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  <c:pt idx="6">
                    <c:v>0.94221931013233018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'[42]H% no reg tier'!$J$3:$J$9</c:f>
              <c:strCache>
                <c:ptCount val="7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  <c:pt idx="6">
                  <c:v>F M</c:v>
                </c:pt>
              </c:strCache>
            </c:strRef>
          </c:cat>
          <c:val>
            <c:numRef>
              <c:f>'Utt full B1'!$C$14:$C$20</c:f>
              <c:numCache>
                <c:formatCode>0.00</c:formatCode>
                <c:ptCount val="7"/>
                <c:pt idx="0">
                  <c:v>-2.1352459764041201</c:v>
                </c:pt>
                <c:pt idx="1">
                  <c:v>2.9558935561294102</c:v>
                </c:pt>
                <c:pt idx="2">
                  <c:v>5.2240445812056704</c:v>
                </c:pt>
                <c:pt idx="3">
                  <c:v>5.0911283555781299</c:v>
                </c:pt>
                <c:pt idx="4">
                  <c:v>7.3592817949925999</c:v>
                </c:pt>
                <c:pt idx="5">
                  <c:v>2.26815124150832</c:v>
                </c:pt>
                <c:pt idx="6">
                  <c:v>2.3820000000000001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full B1'!$C$14:$C$20</c15:f>
                <c15:dlblRangeCache>
                  <c:ptCount val="7"/>
                  <c:pt idx="0">
                    <c:v>-2.14</c:v>
                  </c:pt>
                  <c:pt idx="1">
                    <c:v>2.96</c:v>
                  </c:pt>
                  <c:pt idx="2">
                    <c:v>5.22</c:v>
                  </c:pt>
                  <c:pt idx="3">
                    <c:v>5.09</c:v>
                  </c:pt>
                  <c:pt idx="4">
                    <c:v>7.36</c:v>
                  </c:pt>
                  <c:pt idx="5">
                    <c:v>2.27</c:v>
                  </c:pt>
                  <c:pt idx="6">
                    <c:v>2.38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D7E-44C1-AAB0-20C99A0FC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ST/s)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full B1'!$C$2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EB5FBE5-43DF-47F1-A790-430D45EF5BE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8A-4A6C-98E4-41E3F48BC1F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D38493C-6255-493F-9205-C426D4C5F80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D8A-4A6C-98E4-41E3F48BC1F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9B822F9-A25C-4EAC-8E91-D7A236E220A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D8A-4A6C-98E4-41E3F48BC1F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231B5B7-13DD-4FEE-A847-8076E06C980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D8A-4A6C-98E4-41E3F48BC1F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227683-8A2E-460C-8714-66D91736423A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D8A-4A6C-98E4-41E3F48BC1F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3674FF-D73D-4827-AE59-033AE543AE6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D8A-4A6C-98E4-41E3F48BC1F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4CFF5B1-029E-4D14-9977-BCB552B3B46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D8A-4A6C-98E4-41E3F48BC1F8}"/>
                </c:ext>
              </c:extLst>
            </c:dLbl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25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full B1'!$K$3:$K$9</c:f>
                <c:numCache>
                  <c:formatCode>General</c:formatCode>
                  <c:ptCount val="7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  <c:pt idx="6">
                    <c:v>0.34639941663879098</c:v>
                  </c:pt>
                </c:numCache>
              </c:numRef>
            </c:plus>
            <c:minus>
              <c:numRef>
                <c:f>'Utt full B1'!$K$3:$K$9</c:f>
                <c:numCache>
                  <c:formatCode>General</c:formatCode>
                  <c:ptCount val="7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  <c:pt idx="6">
                    <c:v>0.34639941663879098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'[42]H% no reg tier'!$J$3:$J$9</c:f>
              <c:strCache>
                <c:ptCount val="7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  <c:pt idx="6">
                  <c:v>F M</c:v>
                </c:pt>
              </c:strCache>
            </c:strRef>
          </c:cat>
          <c:val>
            <c:numRef>
              <c:f>'Utt full B1'!$C$3:$C$9</c:f>
              <c:numCache>
                <c:formatCode>0.0</c:formatCode>
                <c:ptCount val="7"/>
                <c:pt idx="0">
                  <c:v>0.47338353537875799</c:v>
                </c:pt>
                <c:pt idx="1">
                  <c:v>0.57088479025351102</c:v>
                </c:pt>
                <c:pt idx="2">
                  <c:v>1.8592129521480001</c:v>
                </c:pt>
                <c:pt idx="3">
                  <c:v>9.7513351019307901E-2</c:v>
                </c:pt>
                <c:pt idx="4">
                  <c:v>1.38587502812868</c:v>
                </c:pt>
                <c:pt idx="5">
                  <c:v>1.2883524321031801</c:v>
                </c:pt>
                <c:pt idx="6">
                  <c:v>-6.5000000000000002E-2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full B1'!$C$3:$C$9</c15:f>
                <c15:dlblRangeCache>
                  <c:ptCount val="7"/>
                  <c:pt idx="0">
                    <c:v>0.5</c:v>
                  </c:pt>
                  <c:pt idx="1">
                    <c:v>0.6</c:v>
                  </c:pt>
                  <c:pt idx="2">
                    <c:v>1.9</c:v>
                  </c:pt>
                  <c:pt idx="3">
                    <c:v>0.1</c:v>
                  </c:pt>
                  <c:pt idx="4">
                    <c:v>1.4</c:v>
                  </c:pt>
                  <c:pt idx="5">
                    <c:v>1.3</c:v>
                  </c:pt>
                  <c:pt idx="6">
                    <c:v>-0.1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D8A-4A6C-98E4-41E3F48BC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/>
            </a:b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B0'!$A$25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B0'!$K$25,'mode B0'!$K$31)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plus>
            <c:minus>
              <c:numRef>
                <c:f>('mode B0'!$K$25,'mode B0'!$K$31)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B0'!$K$38,'mode B0'!$K$44)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plus>
            <c:minus>
              <c:numRef>
                <c:f>('mode B0'!$K$38,'mode B0'!$K$44)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('mode B0'!$B$25,'mode B0'!$B$31)</c:f>
              <c:numCache>
                <c:formatCode>0</c:formatCode>
                <c:ptCount val="2"/>
                <c:pt idx="0">
                  <c:v>66.206999999999994</c:v>
                </c:pt>
                <c:pt idx="1">
                  <c:v>267.09500000000003</c:v>
                </c:pt>
              </c:numCache>
            </c:numRef>
          </c:xVal>
          <c:yVal>
            <c:numRef>
              <c:f>('mode B0'!$B$38,'mode B0'!$B$44)</c:f>
              <c:numCache>
                <c:formatCode>0.0</c:formatCode>
                <c:ptCount val="2"/>
                <c:pt idx="0">
                  <c:v>84.262</c:v>
                </c:pt>
                <c:pt idx="1">
                  <c:v>90.093999999999994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C-42B5-A78D-458FF34D718F}"/>
            </c:ext>
          </c:extLst>
        </c:ser>
        <c:ser>
          <c:idx val="2"/>
          <c:order val="1"/>
          <c:tx>
            <c:strRef>
              <c:f>'mode B0'!$A$26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B0'!$K$26,'mode B0'!$K$32)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plus>
            <c:minus>
              <c:numRef>
                <c:f>('mode B0'!$K$26,'mode B0'!$K$32)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B0'!$K$39,'mode B0'!$K$45)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plus>
            <c:minus>
              <c:numRef>
                <c:f>('mode B0'!$K$39,'mode B0'!$K$45)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B0'!$B$26,'mode B0'!$B$32)</c:f>
              <c:numCache>
                <c:formatCode>0</c:formatCode>
                <c:ptCount val="2"/>
                <c:pt idx="0">
                  <c:v>66.611000000000004</c:v>
                </c:pt>
                <c:pt idx="1">
                  <c:v>266.72199999999998</c:v>
                </c:pt>
              </c:numCache>
            </c:numRef>
          </c:xVal>
          <c:yVal>
            <c:numRef>
              <c:f>('mode B0'!$B$39,'mode B0'!$B$45)</c:f>
              <c:numCache>
                <c:formatCode>0.0</c:formatCode>
                <c:ptCount val="2"/>
                <c:pt idx="0">
                  <c:v>84.387</c:v>
                </c:pt>
                <c:pt idx="1">
                  <c:v>90.501000000000005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C-42B5-A78D-458FF34D718F}"/>
            </c:ext>
          </c:extLst>
        </c:ser>
        <c:ser>
          <c:idx val="3"/>
          <c:order val="2"/>
          <c:tx>
            <c:strRef>
              <c:f>'mode B0'!$A$27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B0'!$K$27,'mode B0'!$K$33)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plus>
            <c:minus>
              <c:numRef>
                <c:f>('mode B0'!$K$27,'mode B0'!$K$33)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B0'!$K$40,'mode B0'!$K$46)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plus>
            <c:minus>
              <c:numRef>
                <c:f>('mode B0'!$K$40,'mode B0'!$K$46)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B0'!$B$27,'mode B0'!$B$33)</c:f>
              <c:numCache>
                <c:formatCode>0</c:formatCode>
                <c:ptCount val="2"/>
                <c:pt idx="0">
                  <c:v>63.911999999999999</c:v>
                </c:pt>
                <c:pt idx="1">
                  <c:v>264.61700000000002</c:v>
                </c:pt>
              </c:numCache>
            </c:numRef>
          </c:xVal>
          <c:yVal>
            <c:numRef>
              <c:f>('mode B0'!$B$40,'mode B0'!$B$46)</c:f>
              <c:numCache>
                <c:formatCode>0.0</c:formatCode>
                <c:ptCount val="2"/>
                <c:pt idx="0">
                  <c:v>85.884</c:v>
                </c:pt>
                <c:pt idx="1">
                  <c:v>91.813000000000002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C-42B5-A78D-458FF34D718F}"/>
            </c:ext>
          </c:extLst>
        </c:ser>
        <c:ser>
          <c:idx val="0"/>
          <c:order val="3"/>
          <c:tx>
            <c:strRef>
              <c:f>'mode B0'!$A$28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B0'!$K$28,'mode B0'!$K$34)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plus>
            <c:minus>
              <c:numRef>
                <c:f>('mode B0'!$K$28,'mode B0'!$K$34)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B0'!$K$41,'mode B0'!$K$47)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plus>
            <c:minus>
              <c:numRef>
                <c:f>('mode B0'!$K$41,'mode B0'!$K$47)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B0'!$B$28,'mode B0'!$B$34)</c:f>
              <c:numCache>
                <c:formatCode>0</c:formatCode>
                <c:ptCount val="2"/>
                <c:pt idx="0">
                  <c:v>45.158999999999999</c:v>
                </c:pt>
                <c:pt idx="1">
                  <c:v>250.261</c:v>
                </c:pt>
              </c:numCache>
            </c:numRef>
          </c:xVal>
          <c:yVal>
            <c:numRef>
              <c:f>('mode B0'!$B$41,'mode B0'!$B$47)</c:f>
              <c:numCache>
                <c:formatCode>0.0</c:formatCode>
                <c:ptCount val="2"/>
                <c:pt idx="0">
                  <c:v>86.745000000000005</c:v>
                </c:pt>
                <c:pt idx="1">
                  <c:v>94.606999999999999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AC-42B5-A78D-458FF34D7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966507290022894"/>
          <c:y val="0.18400866513988776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full B1'!$C$13</c:f>
              <c:strCache>
                <c:ptCount val="1"/>
                <c:pt idx="0">
                  <c:v>ST/s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45CB001-742A-4602-9973-9AB21696C19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0D6-429C-A32E-0A81AF875E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2603DB-A7FF-46B6-9ED7-572D5E9693EC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0D6-429C-A32E-0A81AF875E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30A0069-8533-4AE3-996E-64A7AD32250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0D6-429C-A32E-0A81AF875E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588A4F-0981-4F07-A7BA-614606655257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0D6-429C-A32E-0A81AF875E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84B9D77-A6D3-4992-83EE-501DB1FD7B8B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0D6-429C-A32E-0A81AF875E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F691458-75BB-4F3F-AA8A-DD1A711C55E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0D6-429C-A32E-0A81AF875E5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7073CFA-A74A-4443-A5D0-C3E4B17B293E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0D6-429C-A32E-0A81AF875E5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3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full B1'!$K$14:$K$20</c:f>
                <c:numCache>
                  <c:formatCode>General</c:formatCode>
                  <c:ptCount val="7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  <c:pt idx="6">
                    <c:v>0.94221931013233018</c:v>
                  </c:pt>
                </c:numCache>
              </c:numRef>
            </c:plus>
            <c:minus>
              <c:numRef>
                <c:f>'Utt full B1'!$K$14:$K$20</c:f>
                <c:numCache>
                  <c:formatCode>General</c:formatCode>
                  <c:ptCount val="7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  <c:pt idx="6">
                    <c:v>0.94221931013233018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'[42]H% no reg tier'!$J$3:$J$9</c:f>
              <c:strCache>
                <c:ptCount val="7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  <c:pt idx="6">
                  <c:v>F M</c:v>
                </c:pt>
              </c:strCache>
            </c:strRef>
          </c:cat>
          <c:val>
            <c:numRef>
              <c:f>'Utt full B1'!$C$14:$C$20</c:f>
              <c:numCache>
                <c:formatCode>0.00</c:formatCode>
                <c:ptCount val="7"/>
                <c:pt idx="0">
                  <c:v>-2.1352459764041201</c:v>
                </c:pt>
                <c:pt idx="1">
                  <c:v>2.9558935561294102</c:v>
                </c:pt>
                <c:pt idx="2">
                  <c:v>5.2240445812056704</c:v>
                </c:pt>
                <c:pt idx="3">
                  <c:v>5.0911283555781299</c:v>
                </c:pt>
                <c:pt idx="4">
                  <c:v>7.3592817949925999</c:v>
                </c:pt>
                <c:pt idx="5">
                  <c:v>2.26815124150832</c:v>
                </c:pt>
                <c:pt idx="6">
                  <c:v>2.3820000000000001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full B1'!$C$14:$C$20</c15:f>
                <c15:dlblRangeCache>
                  <c:ptCount val="7"/>
                  <c:pt idx="0">
                    <c:v>-2.14</c:v>
                  </c:pt>
                  <c:pt idx="1">
                    <c:v>2.96</c:v>
                  </c:pt>
                  <c:pt idx="2">
                    <c:v>5.22</c:v>
                  </c:pt>
                  <c:pt idx="3">
                    <c:v>5.09</c:v>
                  </c:pt>
                  <c:pt idx="4">
                    <c:v>7.36</c:v>
                  </c:pt>
                  <c:pt idx="5">
                    <c:v>2.27</c:v>
                  </c:pt>
                  <c:pt idx="6">
                    <c:v>2.38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D0D6-429C-A32E-0A81AF875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ST/s)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/>
            </a:pPr>
            <a:r>
              <a:rPr lang="en-US" sz="1000"/>
              <a:t>Utterance mean f0 (intercepts)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 Utt'!$B$41</c:f>
              <c:strCache>
                <c:ptCount val="1"/>
                <c:pt idx="0">
                  <c:v>mode-only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E2-40CA-84D2-1B0EA3091EC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5E2-40CA-84D2-1B0EA3091EC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5E2-40CA-84D2-1B0EA3091EC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5E2-40CA-84D2-1B0EA3091EC5}"/>
              </c:ext>
            </c:extLst>
          </c:dPt>
          <c:errBars>
            <c:errBarType val="both"/>
            <c:errValType val="cust"/>
            <c:noEndCap val="0"/>
            <c:pl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plus>
            <c:min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Mode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 B0'!$B$3:$B$6</c:f>
              <c:numCache>
                <c:formatCode>0.0</c:formatCode>
                <c:ptCount val="4"/>
                <c:pt idx="0">
                  <c:v>-0.52353979027253095</c:v>
                </c:pt>
                <c:pt idx="1">
                  <c:v>-4.9753135106339497E-2</c:v>
                </c:pt>
                <c:pt idx="2">
                  <c:v>0.23743757336004501</c:v>
                </c:pt>
                <c:pt idx="3">
                  <c:v>1.67378616080225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E2-40CA-84D2-1B0EA3091EC5}"/>
            </c:ext>
          </c:extLst>
        </c:ser>
        <c:ser>
          <c:idx val="1"/>
          <c:order val="1"/>
          <c:tx>
            <c:strRef>
              <c:f>'G Utt'!$B$42</c:f>
              <c:strCache>
                <c:ptCount val="1"/>
                <c:pt idx="0">
                  <c:v>mode-&amp;-phon</c:v>
                </c:pt>
              </c:strCache>
            </c:strRef>
          </c:tx>
          <c:spPr>
            <a:solidFill>
              <a:srgbClr val="E66101"/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5E2-40CA-84D2-1B0EA3091EC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5E2-40CA-84D2-1B0EA3091EC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5E2-40CA-84D2-1B0EA3091EC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5E2-40CA-84D2-1B0EA3091EC5}"/>
              </c:ext>
            </c:extLst>
          </c:dPt>
          <c:errBars>
            <c:errBarType val="both"/>
            <c:errValType val="cust"/>
            <c:noEndCap val="0"/>
            <c:plus>
              <c:numRef>
                <c:f>'Utt full B0'!$J$3:$J$6</c:f>
                <c:numCache>
                  <c:formatCode>General</c:formatCode>
                  <c:ptCount val="4"/>
                  <c:pt idx="0">
                    <c:v>0.94584566173512996</c:v>
                  </c:pt>
                  <c:pt idx="1">
                    <c:v>1.0320199755986634</c:v>
                  </c:pt>
                  <c:pt idx="2">
                    <c:v>0.95359683389690697</c:v>
                  </c:pt>
                  <c:pt idx="3">
                    <c:v>1.16559347449057</c:v>
                  </c:pt>
                </c:numCache>
              </c:numRef>
            </c:plus>
            <c:minus>
              <c:numRef>
                <c:f>'Utt full B0'!$J$3:$J$6</c:f>
                <c:numCache>
                  <c:formatCode>General</c:formatCode>
                  <c:ptCount val="4"/>
                  <c:pt idx="0">
                    <c:v>0.94584566173512996</c:v>
                  </c:pt>
                  <c:pt idx="1">
                    <c:v>1.0320199755986634</c:v>
                  </c:pt>
                  <c:pt idx="2">
                    <c:v>0.95359683389690697</c:v>
                  </c:pt>
                  <c:pt idx="3">
                    <c:v>1.16559347449057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'Utt full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B0'!$B$3:$B$6</c:f>
              <c:numCache>
                <c:formatCode>0.0</c:formatCode>
                <c:ptCount val="4"/>
                <c:pt idx="0">
                  <c:v>-0.418601741744975</c:v>
                </c:pt>
                <c:pt idx="1">
                  <c:v>5.4921727840636599E-2</c:v>
                </c:pt>
                <c:pt idx="2">
                  <c:v>0.15244365963015299</c:v>
                </c:pt>
                <c:pt idx="3">
                  <c:v>1.44073013611451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E2-40CA-84D2-1B0EA309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</a:t>
                </a:r>
              </a:p>
            </c:rich>
          </c:tx>
          <c:layout>
            <c:manualLayout>
              <c:xMode val="edge"/>
              <c:yMode val="edge"/>
              <c:x val="0.15356209150326797"/>
              <c:y val="0.300222807017543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'G Utt'!$B$41</c:f>
              <c:strCache>
                <c:ptCount val="1"/>
                <c:pt idx="0">
                  <c:v>mode-only</c:v>
                </c:pt>
              </c:strCache>
            </c:strRef>
          </c:tx>
          <c:spPr>
            <a:ln w="9525">
              <a:noFill/>
            </a:ln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99-4C88-84A1-EB4307C296C6}"/>
              </c:ext>
            </c:extLst>
          </c:dPt>
          <c:dPt>
            <c:idx val="1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99-4C88-84A1-EB4307C296C6}"/>
              </c:ext>
            </c:extLst>
          </c:dPt>
          <c:dPt>
            <c:idx val="2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99-4C88-84A1-EB4307C296C6}"/>
              </c:ext>
            </c:extLst>
          </c:dPt>
          <c:dPt>
            <c:idx val="3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99-4C88-84A1-EB4307C296C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Mode B0'!$J$11:$J$14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Mode B0'!$J$11:$J$14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Mode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 B0'!$B$11:$B$14</c:f>
              <c:numCache>
                <c:formatCode>0.00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99-4C88-84A1-EB4307C296C6}"/>
            </c:ext>
          </c:extLst>
        </c:ser>
        <c:ser>
          <c:idx val="1"/>
          <c:order val="1"/>
          <c:tx>
            <c:strRef>
              <c:f>'G Utt'!$B$42</c:f>
              <c:strCache>
                <c:ptCount val="1"/>
                <c:pt idx="0">
                  <c:v>mode-&amp;-phon</c:v>
                </c:pt>
              </c:strCache>
            </c:strRef>
          </c:tx>
          <c:spPr>
            <a:ln w="9525">
              <a:noFill/>
            </a:ln>
          </c:spPr>
          <c:marker>
            <c:symbol val="square"/>
            <c:size val="6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</c:marker>
          <c:dPt>
            <c:idx val="0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599-4C88-84A1-EB4307C296C6}"/>
              </c:ext>
            </c:extLst>
          </c:dPt>
          <c:dPt>
            <c:idx val="1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8599-4C88-84A1-EB4307C296C6}"/>
              </c:ext>
            </c:extLst>
          </c:dPt>
          <c:dPt>
            <c:idx val="2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8599-4C88-84A1-EB4307C296C6}"/>
              </c:ext>
            </c:extLst>
          </c:dPt>
          <c:dPt>
            <c:idx val="3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599-4C88-84A1-EB4307C296C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full B0'!$J$11:$J$14</c:f>
                <c:numCache>
                  <c:formatCode>General</c:formatCode>
                  <c:ptCount val="4"/>
                  <c:pt idx="0">
                    <c:v>4.5811808144231296</c:v>
                  </c:pt>
                  <c:pt idx="1">
                    <c:v>4.8296122853006755</c:v>
                  </c:pt>
                  <c:pt idx="2">
                    <c:v>4.4960133338710584</c:v>
                  </c:pt>
                  <c:pt idx="3">
                    <c:v>4.6450987094665601</c:v>
                  </c:pt>
                </c:numCache>
              </c:numRef>
            </c:plus>
            <c:minus>
              <c:numRef>
                <c:f>'Utt full B0'!$J$11:$J$14</c:f>
                <c:numCache>
                  <c:formatCode>General</c:formatCode>
                  <c:ptCount val="4"/>
                  <c:pt idx="0">
                    <c:v>4.5811808144231296</c:v>
                  </c:pt>
                  <c:pt idx="1">
                    <c:v>4.8296122853006755</c:v>
                  </c:pt>
                  <c:pt idx="2">
                    <c:v>4.4960133338710584</c:v>
                  </c:pt>
                  <c:pt idx="3">
                    <c:v>4.6450987094665601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'Utt full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B0'!$B$11:$B$14</c:f>
              <c:numCache>
                <c:formatCode>0.00</c:formatCode>
                <c:ptCount val="4"/>
                <c:pt idx="0">
                  <c:v>-3.4714019405885499</c:v>
                </c:pt>
                <c:pt idx="1">
                  <c:v>-5.6066765505065197</c:v>
                </c:pt>
                <c:pt idx="2">
                  <c:v>-0.51549928692300795</c:v>
                </c:pt>
                <c:pt idx="3">
                  <c:v>1.7526265474082099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599-4C88-84A1-EB4307C29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0.12568968253968255"/>
              <c:y val="0.276523263888888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8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/>
            </a:pPr>
            <a:r>
              <a:rPr lang="en-US" sz="1000"/>
              <a:t>Utterance mean f0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Utt'!$B$41</c:f>
              <c:strCache>
                <c:ptCount val="1"/>
                <c:pt idx="0">
                  <c:v>mode-only</c:v>
                </c:pt>
              </c:strCache>
            </c:strRef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B1'!$K$3:$K$8</c:f>
                <c:numCache>
                  <c:formatCode>General</c:formatCode>
                  <c:ptCount val="6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</c:numCache>
              </c:numRef>
            </c:plus>
            <c:minus>
              <c:numRef>
                <c:f>'Utt B1'!$K$3:$K$8</c:f>
                <c:numCache>
                  <c:formatCode>General</c:formatCode>
                  <c:ptCount val="6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alpha val="7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B1'!$C$3:$C$8</c:f>
              <c:numCache>
                <c:formatCode>0.0</c:formatCode>
                <c:ptCount val="6"/>
                <c:pt idx="0">
                  <c:v>0.47378459260777001</c:v>
                </c:pt>
                <c:pt idx="1">
                  <c:v>0.76097638133650203</c:v>
                </c:pt>
                <c:pt idx="2">
                  <c:v>2.1973305450155798</c:v>
                </c:pt>
                <c:pt idx="3">
                  <c:v>0.28719182728667603</c:v>
                </c:pt>
                <c:pt idx="4">
                  <c:v>1.72354596224421</c:v>
                </c:pt>
                <c:pt idx="5">
                  <c:v>1.4363541724389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0-4324-AFEC-F37371DAFA7E}"/>
            </c:ext>
          </c:extLst>
        </c:ser>
        <c:ser>
          <c:idx val="1"/>
          <c:order val="1"/>
          <c:tx>
            <c:strRef>
              <c:f>'G Utt'!$B$42</c:f>
              <c:strCache>
                <c:ptCount val="1"/>
                <c:pt idx="0">
                  <c:v>mode-&amp;-phon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B1'!$K$3:$K$8</c:f>
                <c:numCache>
                  <c:formatCode>General</c:formatCode>
                  <c:ptCount val="6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</c:numCache>
              </c:numRef>
            </c:plus>
            <c:minus>
              <c:numRef>
                <c:f>'Utt full B1'!$K$3:$K$8</c:f>
                <c:numCache>
                  <c:formatCode>General</c:formatCode>
                  <c:ptCount val="6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</c:numCache>
              </c:numRef>
            </c:minus>
            <c:spPr>
              <a:ln w="19050">
                <a:solidFill>
                  <a:srgbClr val="E66101">
                    <a:alpha val="70000"/>
                  </a:srgbClr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B1'!$C$3:$C$8</c:f>
              <c:numCache>
                <c:formatCode>0.0</c:formatCode>
                <c:ptCount val="6"/>
                <c:pt idx="0">
                  <c:v>0.47338353537875799</c:v>
                </c:pt>
                <c:pt idx="1">
                  <c:v>0.57088479025351102</c:v>
                </c:pt>
                <c:pt idx="2">
                  <c:v>1.8592129521480001</c:v>
                </c:pt>
                <c:pt idx="3">
                  <c:v>9.7513351019307901E-2</c:v>
                </c:pt>
                <c:pt idx="4">
                  <c:v>1.38587502812868</c:v>
                </c:pt>
                <c:pt idx="5">
                  <c:v>1.2883524321031801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0-4324-AFEC-F37371DA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(ST)</a:t>
                </a:r>
              </a:p>
            </c:rich>
          </c:tx>
          <c:layout>
            <c:manualLayout>
              <c:xMode val="edge"/>
              <c:yMode val="edge"/>
              <c:x val="0.12697840931856699"/>
              <c:y val="0.333952631578947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 Utt'!$B$41</c:f>
              <c:strCache>
                <c:ptCount val="1"/>
                <c:pt idx="0">
                  <c:v>mode-only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diamond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903-404E-832B-4AC3696B518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903-404E-832B-4AC3696B518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903-404E-832B-4AC3696B518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903-404E-832B-4AC3696B518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903-404E-832B-4AC3696B518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903-404E-832B-4AC3696B518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B1'!$K$14:$K$19</c:f>
                <c:numCache>
                  <c:formatCode>General</c:formatCode>
                  <c:ptCount val="6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</c:numCache>
              </c:numRef>
            </c:plus>
            <c:minus>
              <c:numRef>
                <c:f>'Utt B1'!$K$14:$K$19</c:f>
                <c:numCache>
                  <c:formatCode>General</c:formatCode>
                  <c:ptCount val="6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B1'!$C$14:$C$19</c:f>
              <c:numCache>
                <c:formatCode>0.00</c:formatCode>
                <c:ptCount val="6"/>
                <c:pt idx="0">
                  <c:v>-2.42388123109864</c:v>
                </c:pt>
                <c:pt idx="1">
                  <c:v>3.5497518552582199</c:v>
                </c:pt>
                <c:pt idx="2">
                  <c:v>6.60866325868583</c:v>
                </c:pt>
                <c:pt idx="3">
                  <c:v>5.9736332606028402</c:v>
                </c:pt>
                <c:pt idx="4">
                  <c:v>9.0325449853367594</c:v>
                </c:pt>
                <c:pt idx="5">
                  <c:v>3.0589118485968601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03-404E-832B-4AC3696B5181}"/>
            </c:ext>
          </c:extLst>
        </c:ser>
        <c:ser>
          <c:idx val="1"/>
          <c:order val="1"/>
          <c:tx>
            <c:strRef>
              <c:f>'G Utt'!$B$42</c:f>
              <c:strCache>
                <c:ptCount val="1"/>
                <c:pt idx="0">
                  <c:v>mode-&amp;-phon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B1'!$K$14:$K$19</c:f>
                <c:numCache>
                  <c:formatCode>General</c:formatCode>
                  <c:ptCount val="6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</c:numCache>
              </c:numRef>
            </c:plus>
            <c:minus>
              <c:numRef>
                <c:f>'Utt full B1'!$K$14:$K$19</c:f>
                <c:numCache>
                  <c:formatCode>General</c:formatCode>
                  <c:ptCount val="6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B1'!$C$14:$C$19</c:f>
              <c:numCache>
                <c:formatCode>0.00</c:formatCode>
                <c:ptCount val="6"/>
                <c:pt idx="0">
                  <c:v>-2.1352459764041201</c:v>
                </c:pt>
                <c:pt idx="1">
                  <c:v>2.9558935561294102</c:v>
                </c:pt>
                <c:pt idx="2">
                  <c:v>5.2240445812056704</c:v>
                </c:pt>
                <c:pt idx="3">
                  <c:v>5.0911283555781299</c:v>
                </c:pt>
                <c:pt idx="4">
                  <c:v>7.3592817949925999</c:v>
                </c:pt>
                <c:pt idx="5">
                  <c:v>2.26815124150832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03-404E-832B-4AC3696B5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utterance-wide parameters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791-4B73-ADBD-6D743ED91585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E66101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791-4B73-ADBD-6D743ED91585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791-4B73-ADBD-6D743ED91585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791-4B73-ADBD-6D743ED91585}"/>
              </c:ext>
            </c:extLst>
          </c:dPt>
          <c:dLbls>
            <c:dLbl>
              <c:idx val="0"/>
              <c:layout>
                <c:manualLayout>
                  <c:x val="-0.15967839709471324"/>
                  <c:y val="-3.0868055555555638E-2"/>
                </c:manualLayout>
              </c:layout>
              <c:tx>
                <c:rich>
                  <a:bodyPr/>
                  <a:lstStyle/>
                  <a:p>
                    <a:fld id="{F025BEC9-41C6-42DF-B0D7-0AF99350A88A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791-4B73-ADBD-6D743ED91585}"/>
                </c:ext>
              </c:extLst>
            </c:dLbl>
            <c:dLbl>
              <c:idx val="1"/>
              <c:layout>
                <c:manualLayout>
                  <c:x val="-3.5484088243269603E-2"/>
                  <c:y val="2.6458333333333254E-2"/>
                </c:manualLayout>
              </c:layout>
              <c:tx>
                <c:rich>
                  <a:bodyPr/>
                  <a:lstStyle/>
                  <a:p>
                    <a:fld id="{7963704B-AA72-4B96-A4AC-777F7C23E62A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791-4B73-ADBD-6D743ED91585}"/>
                </c:ext>
              </c:extLst>
            </c:dLbl>
            <c:dLbl>
              <c:idx val="2"/>
              <c:layout>
                <c:manualLayout>
                  <c:x val="-3.099081907323837E-2"/>
                  <c:y val="3.0868055555555517E-2"/>
                </c:manualLayout>
              </c:layout>
              <c:tx>
                <c:rich>
                  <a:bodyPr/>
                  <a:lstStyle/>
                  <a:p>
                    <a:fld id="{18CAAEBA-3171-4F92-9DD9-4EEF2F718CB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791-4B73-ADBD-6D743ED91585}"/>
                </c:ext>
              </c:extLst>
            </c:dLbl>
            <c:dLbl>
              <c:idx val="3"/>
              <c:layout>
                <c:manualLayout>
                  <c:x val="-3.5444303180327354E-2"/>
                  <c:y val="3.0868055555555555E-2"/>
                </c:manualLayout>
              </c:layout>
              <c:tx>
                <c:rich>
                  <a:bodyPr/>
                  <a:lstStyle/>
                  <a:p>
                    <a:fld id="{30BB7134-A524-4596-9799-7CD3466AFC49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791-4B73-ADBD-6D743ED91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plus>
            <c:min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'Utt Mode B0'!$J$11:$J$14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Mode B0'!$J$11:$J$14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('Utt Mode B0'!$B$3,'Utt Mode B0'!$B$4,'Utt Mode B0'!$B$5,'Utt Mode B0'!$B$6)</c:f>
              <c:numCache>
                <c:formatCode>0.0</c:formatCode>
                <c:ptCount val="4"/>
                <c:pt idx="0">
                  <c:v>-0.52353979027253095</c:v>
                </c:pt>
                <c:pt idx="1">
                  <c:v>-4.9753135106339497E-2</c:v>
                </c:pt>
                <c:pt idx="2">
                  <c:v>0.23743757336004501</c:v>
                </c:pt>
                <c:pt idx="3">
                  <c:v>1.67378616080225</c:v>
                </c:pt>
              </c:numCache>
            </c:numRef>
          </c:xVal>
          <c:yVal>
            <c:numRef>
              <c:f>('Utt Mode B0'!$B$11,'Utt Mode B0'!$B$12,'Utt Mode B0'!$B$13,'Utt Mode B0'!$B$14)</c:f>
              <c:numCache>
                <c:formatCode>0.00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'Utt Mode B0'!$A$3:$A$6</c15:f>
                <c15:dlblRangeCache>
                  <c:ptCount val="4"/>
                  <c:pt idx="0">
                    <c:v>MDC</c:v>
                  </c:pt>
                  <c:pt idx="1">
                    <c:v>MWH</c:v>
                  </c:pt>
                  <c:pt idx="2">
                    <c:v>MYN</c:v>
                  </c:pt>
                  <c:pt idx="3">
                    <c:v>MDQ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791-4B73-ADBD-6D743ED915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217616"/>
        <c:axId val="386213872"/>
      </c:scatterChart>
      <c:valAx>
        <c:axId val="38621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mean f0 (ST re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3872"/>
        <c:crosses val="autoZero"/>
        <c:crossBetween val="midCat"/>
        <c:majorUnit val="2"/>
        <c:minorUnit val="0.5"/>
      </c:valAx>
      <c:valAx>
        <c:axId val="386213872"/>
        <c:scaling>
          <c:orientation val="minMax"/>
          <c:max val="12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7616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f0 (intercepts)</a:t>
            </a:r>
            <a:endParaRPr lang="en-I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'Utt Mode B0'!$A$1</c:f>
              <c:strCache>
                <c:ptCount val="1"/>
                <c:pt idx="0">
                  <c:v>Mean f0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73-40F6-B3EE-1FF288A0B5C7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F73-40F6-B3EE-1FF288A0B5C7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73-40F6-B3EE-1FF288A0B5C7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F73-40F6-B3EE-1FF288A0B5C7}"/>
              </c:ext>
            </c:extLst>
          </c:dPt>
          <c:errBars>
            <c:errBarType val="both"/>
            <c:errValType val="cust"/>
            <c:noEndCap val="0"/>
            <c:pl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plus>
            <c:min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'Utt Mode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B0'!$B$3:$B$6</c:f>
              <c:numCache>
                <c:formatCode>0.0</c:formatCode>
                <c:ptCount val="4"/>
                <c:pt idx="0">
                  <c:v>-0.418601741744975</c:v>
                </c:pt>
                <c:pt idx="1">
                  <c:v>5.4921727840636599E-2</c:v>
                </c:pt>
                <c:pt idx="2">
                  <c:v>0.15244365963015299</c:v>
                </c:pt>
                <c:pt idx="3">
                  <c:v>1.44073013611451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73-40F6-B3EE-1FF288A0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slope (intercepts)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1"/>
          <c:order val="0"/>
          <c:tx>
            <c:v>slope</c:v>
          </c:tx>
          <c:spPr>
            <a:ln w="9525">
              <a:noFill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102-49CA-AC37-C26E3BC78FC3}"/>
              </c:ext>
            </c:extLst>
          </c:dPt>
          <c:dPt>
            <c:idx val="1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8102-49CA-AC37-C26E3BC78FC3}"/>
              </c:ext>
            </c:extLst>
          </c:dPt>
          <c:dPt>
            <c:idx val="2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8102-49CA-AC37-C26E3BC78FC3}"/>
              </c:ext>
            </c:extLst>
          </c:dPt>
          <c:dPt>
            <c:idx val="3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102-49CA-AC37-C26E3BC78FC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Mode B0'!$J$11:$J$14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Mode B0'!$J$11:$J$14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alpha val="80000"/>
                  </a:schemeClr>
                </a:solidFill>
                <a:round/>
              </a:ln>
              <a:effectLst/>
            </c:spPr>
          </c:errBars>
          <c:cat>
            <c:strRef>
              <c:f>'Utt Mode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 B0'!$B$11:$B$14</c:f>
              <c:numCache>
                <c:formatCode>0.00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02-49CA-AC37-C26E3BC7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f0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diff.</c:v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B1'!$K$3:$K$8</c:f>
                <c:numCache>
                  <c:formatCode>General</c:formatCode>
                  <c:ptCount val="6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</c:numCache>
              </c:numRef>
            </c:plus>
            <c:minus>
              <c:numRef>
                <c:f>'Utt B1'!$K$3:$K$8</c:f>
                <c:numCache>
                  <c:formatCode>General</c:formatCode>
                  <c:ptCount val="6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B1'!$C$3:$C$8</c:f>
              <c:numCache>
                <c:formatCode>0.0</c:formatCode>
                <c:ptCount val="6"/>
                <c:pt idx="0">
                  <c:v>0.47378459260777001</c:v>
                </c:pt>
                <c:pt idx="1">
                  <c:v>0.76097638133650203</c:v>
                </c:pt>
                <c:pt idx="2">
                  <c:v>2.1973305450155798</c:v>
                </c:pt>
                <c:pt idx="3">
                  <c:v>0.28719182728667603</c:v>
                </c:pt>
                <c:pt idx="4">
                  <c:v>1.72354596224421</c:v>
                </c:pt>
                <c:pt idx="5">
                  <c:v>1.4363541724389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E-409F-B750-8021706B0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(ST)</a:t>
                </a:r>
              </a:p>
            </c:rich>
          </c:tx>
          <c:layout>
            <c:manualLayout>
              <c:xMode val="edge"/>
              <c:yMode val="edge"/>
              <c:x val="2.608899866018664E-2"/>
              <c:y val="0.415648538011695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slope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diff.</c:v>
          </c:tx>
          <c:spPr>
            <a:ln>
              <a:noFill/>
              <a:prstDash val="sysDash"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B9C-4BAF-9DF5-0788DA3E6CB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B9C-4BAF-9DF5-0788DA3E6CB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B9C-4BAF-9DF5-0788DA3E6CB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B9C-4BAF-9DF5-0788DA3E6CB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B9C-4BAF-9DF5-0788DA3E6CB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B9C-4BAF-9DF5-0788DA3E6CB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B1'!$K$14:$K$19</c:f>
                <c:numCache>
                  <c:formatCode>General</c:formatCode>
                  <c:ptCount val="6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</c:numCache>
              </c:numRef>
            </c:plus>
            <c:minus>
              <c:numRef>
                <c:f>'Utt B1'!$K$14:$K$19</c:f>
                <c:numCache>
                  <c:formatCode>General</c:formatCode>
                  <c:ptCount val="6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</c:numCache>
              </c:numRef>
            </c:minus>
            <c:spPr>
              <a:ln w="19050">
                <a:solidFill>
                  <a:schemeClr val="tx1">
                    <a:alpha val="80000"/>
                  </a:schemeClr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B1'!$C$14:$C$19</c:f>
              <c:numCache>
                <c:formatCode>0.00</c:formatCode>
                <c:ptCount val="6"/>
                <c:pt idx="0">
                  <c:v>-2.42388123109864</c:v>
                </c:pt>
                <c:pt idx="1">
                  <c:v>3.5497518552582199</c:v>
                </c:pt>
                <c:pt idx="2">
                  <c:v>6.60866325868583</c:v>
                </c:pt>
                <c:pt idx="3">
                  <c:v>5.9736332606028402</c:v>
                </c:pt>
                <c:pt idx="4">
                  <c:v>9.0325449853367594</c:v>
                </c:pt>
                <c:pt idx="5">
                  <c:v>3.0589118485968601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5C-4107-80B9-6F6002310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3.5547380909409801E-2"/>
              <c:y val="0.376521378194709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B1'!$A$5</c:f>
              <c:strCache>
                <c:ptCount val="1"/>
                <c:pt idx="0">
                  <c:v>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B1'!$B$5,'mode RTH B1'!$B$10,'mode RTH B1'!$B$15,'mode RTH B1'!$B$20,'mode RTH B1'!$B$25,'mode RTH B1'!$B$30)</c:f>
              <c:numCache>
                <c:formatCode>0</c:formatCode>
                <c:ptCount val="6"/>
                <c:pt idx="0" formatCode="0.0">
                  <c:v>0.32500000000000001</c:v>
                </c:pt>
                <c:pt idx="1">
                  <c:v>2.0680000000000001</c:v>
                </c:pt>
                <c:pt idx="2">
                  <c:v>-20.366</c:v>
                </c:pt>
                <c:pt idx="3">
                  <c:v>1.744</c:v>
                </c:pt>
                <c:pt idx="4">
                  <c:v>-20.690999999999999</c:v>
                </c:pt>
                <c:pt idx="5">
                  <c:v>-22.434999999999999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8-4F0F-9B00-BD2F9034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utterance-wide parameters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D37-4378-9FAE-ACF343ACD667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E66101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D37-4378-9FAE-ACF343ACD667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D37-4378-9FAE-ACF343ACD667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D37-4378-9FAE-ACF343ACD667}"/>
              </c:ext>
            </c:extLst>
          </c:dPt>
          <c:dLbls>
            <c:dLbl>
              <c:idx val="0"/>
              <c:layout>
                <c:manualLayout>
                  <c:x val="-0.15967839709471324"/>
                  <c:y val="-3.0868055555555638E-2"/>
                </c:manualLayout>
              </c:layout>
              <c:tx>
                <c:rich>
                  <a:bodyPr/>
                  <a:lstStyle/>
                  <a:p>
                    <a:fld id="{EE5A8484-CA64-48D0-BEAD-D5C8BF274D97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D37-4378-9FAE-ACF343ACD667}"/>
                </c:ext>
              </c:extLst>
            </c:dLbl>
            <c:dLbl>
              <c:idx val="1"/>
              <c:layout>
                <c:manualLayout>
                  <c:x val="-3.5484088243269603E-2"/>
                  <c:y val="2.6458333333333254E-2"/>
                </c:manualLayout>
              </c:layout>
              <c:tx>
                <c:rich>
                  <a:bodyPr/>
                  <a:lstStyle/>
                  <a:p>
                    <a:fld id="{46780D04-4B9B-4AB4-9E13-516792F476E3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D37-4378-9FAE-ACF343ACD667}"/>
                </c:ext>
              </c:extLst>
            </c:dLbl>
            <c:dLbl>
              <c:idx val="2"/>
              <c:layout>
                <c:manualLayout>
                  <c:x val="-3.099081907323837E-2"/>
                  <c:y val="3.0868055555555517E-2"/>
                </c:manualLayout>
              </c:layout>
              <c:tx>
                <c:rich>
                  <a:bodyPr/>
                  <a:lstStyle/>
                  <a:p>
                    <a:fld id="{7568F565-721E-4FFC-86F0-2A333B8C5DC6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D37-4378-9FAE-ACF343ACD667}"/>
                </c:ext>
              </c:extLst>
            </c:dLbl>
            <c:dLbl>
              <c:idx val="3"/>
              <c:layout>
                <c:manualLayout>
                  <c:x val="-3.5444303180327354E-2"/>
                  <c:y val="3.0868055555555555E-2"/>
                </c:manualLayout>
              </c:layout>
              <c:tx>
                <c:rich>
                  <a:bodyPr/>
                  <a:lstStyle/>
                  <a:p>
                    <a:fld id="{118AE4DE-BCBE-40DC-80F8-C0459E1FCE56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D37-4378-9FAE-ACF343ACD6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'Utt full B0'!$J$3:$J$6</c:f>
                <c:numCache>
                  <c:formatCode>General</c:formatCode>
                  <c:ptCount val="4"/>
                  <c:pt idx="0">
                    <c:v>0.94584566173512996</c:v>
                  </c:pt>
                  <c:pt idx="1">
                    <c:v>1.0320199755986634</c:v>
                  </c:pt>
                  <c:pt idx="2">
                    <c:v>0.95359683389690697</c:v>
                  </c:pt>
                  <c:pt idx="3">
                    <c:v>1.16559347449057</c:v>
                  </c:pt>
                </c:numCache>
              </c:numRef>
            </c:plus>
            <c:minus>
              <c:numRef>
                <c:f>'Utt full B0'!$J$3:$J$6</c:f>
                <c:numCache>
                  <c:formatCode>General</c:formatCode>
                  <c:ptCount val="4"/>
                  <c:pt idx="0">
                    <c:v>0.94584566173512996</c:v>
                  </c:pt>
                  <c:pt idx="1">
                    <c:v>1.0320199755986634</c:v>
                  </c:pt>
                  <c:pt idx="2">
                    <c:v>0.95359683389690697</c:v>
                  </c:pt>
                  <c:pt idx="3">
                    <c:v>1.16559347449057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'Utt full B0'!$J$11:$J$14</c:f>
                <c:numCache>
                  <c:formatCode>General</c:formatCode>
                  <c:ptCount val="4"/>
                  <c:pt idx="0">
                    <c:v>4.5811808144231296</c:v>
                  </c:pt>
                  <c:pt idx="1">
                    <c:v>4.8296122853006755</c:v>
                  </c:pt>
                  <c:pt idx="2">
                    <c:v>4.4960133338710584</c:v>
                  </c:pt>
                  <c:pt idx="3">
                    <c:v>4.6450987094665601</c:v>
                  </c:pt>
                </c:numCache>
              </c:numRef>
            </c:plus>
            <c:minus>
              <c:numRef>
                <c:f>'Utt full B0'!$J$11:$J$14</c:f>
                <c:numCache>
                  <c:formatCode>General</c:formatCode>
                  <c:ptCount val="4"/>
                  <c:pt idx="0">
                    <c:v>4.5811808144231296</c:v>
                  </c:pt>
                  <c:pt idx="1">
                    <c:v>4.8296122853006755</c:v>
                  </c:pt>
                  <c:pt idx="2">
                    <c:v>4.4960133338710584</c:v>
                  </c:pt>
                  <c:pt idx="3">
                    <c:v>4.6450987094665601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'Utt full B0'!$B$3:$B$6</c:f>
              <c:numCache>
                <c:formatCode>0.0</c:formatCode>
                <c:ptCount val="4"/>
                <c:pt idx="0">
                  <c:v>-0.418601741744975</c:v>
                </c:pt>
                <c:pt idx="1">
                  <c:v>5.4921727840636599E-2</c:v>
                </c:pt>
                <c:pt idx="2">
                  <c:v>0.15244365963015299</c:v>
                </c:pt>
                <c:pt idx="3">
                  <c:v>1.44073013611451</c:v>
                </c:pt>
              </c:numCache>
            </c:numRef>
          </c:xVal>
          <c:yVal>
            <c:numRef>
              <c:f>'Utt Mode B0'!$B$11:$B$14</c:f>
              <c:numCache>
                <c:formatCode>0.00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'Utt Mode B0'!$A$3:$A$6</c15:f>
                <c15:dlblRangeCache>
                  <c:ptCount val="4"/>
                  <c:pt idx="0">
                    <c:v>MDC</c:v>
                  </c:pt>
                  <c:pt idx="1">
                    <c:v>MWH</c:v>
                  </c:pt>
                  <c:pt idx="2">
                    <c:v>MYN</c:v>
                  </c:pt>
                  <c:pt idx="3">
                    <c:v>MDQ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D37-4378-9FAE-ACF343ACD6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217616"/>
        <c:axId val="386213872"/>
      </c:scatterChart>
      <c:valAx>
        <c:axId val="38621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mean f0 (ST re</a:t>
                </a:r>
                <a:r>
                  <a:rPr lang="en-IE" baseline="0"/>
                  <a:t> median</a:t>
                </a:r>
                <a:r>
                  <a:rPr lang="en-IE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3872"/>
        <c:crosses val="autoZero"/>
        <c:crossBetween val="midCat"/>
      </c:valAx>
      <c:valAx>
        <c:axId val="3862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7616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utterance-wide parameters</c:v>
          </c:tx>
          <c:spPr>
            <a:ln w="25400">
              <a:noFill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dPt>
            <c:idx val="0"/>
            <c:marker>
              <c:symbol val="triang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E-A904-4531-8852-ADF0DD6B0E6B}"/>
              </c:ext>
            </c:extLst>
          </c:dPt>
          <c:dPt>
            <c:idx val="2"/>
            <c:marker>
              <c:symbol val="squar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D-A904-4531-8852-ADF0DD6B0E6B}"/>
              </c:ext>
            </c:extLst>
          </c:dPt>
          <c:dPt>
            <c:idx val="3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C-A904-4531-8852-ADF0DD6B0E6B}"/>
              </c:ext>
            </c:extLst>
          </c:dPt>
          <c:dLbls>
            <c:delete val="1"/>
          </c:dLbls>
          <c:xVal>
            <c:numRef>
              <c:f>'Utt full B0'!$B$3:$B$6</c:f>
              <c:numCache>
                <c:formatCode>0.0</c:formatCode>
                <c:ptCount val="4"/>
                <c:pt idx="0">
                  <c:v>-0.418601741744975</c:v>
                </c:pt>
                <c:pt idx="1">
                  <c:v>5.4921727840636599E-2</c:v>
                </c:pt>
                <c:pt idx="2">
                  <c:v>0.15244365963015299</c:v>
                </c:pt>
                <c:pt idx="3">
                  <c:v>1.44073013611451</c:v>
                </c:pt>
              </c:numCache>
            </c:numRef>
          </c:xVal>
          <c:yVal>
            <c:numRef>
              <c:f>'Utt Mode B0'!$B$11:$B$14</c:f>
              <c:numCache>
                <c:formatCode>0.00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04-4531-8852-ADF0DD6B0E6B}"/>
            </c:ext>
          </c:extLst>
        </c:ser>
        <c:ser>
          <c:idx val="0"/>
          <c:order val="1"/>
          <c:tx>
            <c:v>utterance-wide parameters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904-4531-8852-ADF0DD6B0E6B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E6610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904-4531-8852-ADF0DD6B0E6B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904-4531-8852-ADF0DD6B0E6B}"/>
              </c:ext>
            </c:extLst>
          </c:dPt>
          <c:dPt>
            <c:idx val="3"/>
            <c:marker>
              <c:spPr>
                <a:solidFill>
                  <a:srgbClr val="E7298A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904-4531-8852-ADF0DD6B0E6B}"/>
              </c:ext>
            </c:extLst>
          </c:dPt>
          <c:dLbls>
            <c:dLbl>
              <c:idx val="0"/>
              <c:layout>
                <c:manualLayout>
                  <c:x val="-0.15967839709471324"/>
                  <c:y val="-3.0868055555555638E-2"/>
                </c:manualLayout>
              </c:layout>
              <c:tx>
                <c:rich>
                  <a:bodyPr/>
                  <a:lstStyle/>
                  <a:p>
                    <a:fld id="{D906233A-5B01-4C07-8F6E-9068BDA9D132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904-4531-8852-ADF0DD6B0E6B}"/>
                </c:ext>
              </c:extLst>
            </c:dLbl>
            <c:dLbl>
              <c:idx val="1"/>
              <c:layout>
                <c:manualLayout>
                  <c:x val="-3.5484088243269603E-2"/>
                  <c:y val="2.6458333333333254E-2"/>
                </c:manualLayout>
              </c:layout>
              <c:tx>
                <c:rich>
                  <a:bodyPr/>
                  <a:lstStyle/>
                  <a:p>
                    <a:fld id="{38657C0B-F64C-4855-A7E6-CEFFE00ECF48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904-4531-8852-ADF0DD6B0E6B}"/>
                </c:ext>
              </c:extLst>
            </c:dLbl>
            <c:dLbl>
              <c:idx val="2"/>
              <c:layout>
                <c:manualLayout>
                  <c:x val="-3.099081907323837E-2"/>
                  <c:y val="3.0868055555555517E-2"/>
                </c:manualLayout>
              </c:layout>
              <c:tx>
                <c:rich>
                  <a:bodyPr/>
                  <a:lstStyle/>
                  <a:p>
                    <a:fld id="{18A47789-AAFF-42AD-8844-9D0F9B2DABF4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904-4531-8852-ADF0DD6B0E6B}"/>
                </c:ext>
              </c:extLst>
            </c:dLbl>
            <c:dLbl>
              <c:idx val="3"/>
              <c:layout>
                <c:manualLayout>
                  <c:x val="-3.5444303180327354E-2"/>
                  <c:y val="3.0868055555555555E-2"/>
                </c:manualLayout>
              </c:layout>
              <c:tx>
                <c:rich>
                  <a:bodyPr/>
                  <a:lstStyle/>
                  <a:p>
                    <a:fld id="{ADD034AF-9D6C-4D79-A209-15E7AF1A500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904-4531-8852-ADF0DD6B0E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plus>
            <c:min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'Utt Mode B0'!$J$11:$J$14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Mode B0'!$J$11:$J$14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('Utt Mode B0'!$B$3,'Utt Mode B0'!$B$4,'Utt Mode B0'!$B$5,'Utt Mode B0'!$B$6)</c:f>
              <c:numCache>
                <c:formatCode>0.0</c:formatCode>
                <c:ptCount val="4"/>
                <c:pt idx="0">
                  <c:v>-0.52353979027253095</c:v>
                </c:pt>
                <c:pt idx="1">
                  <c:v>-4.9753135106339497E-2</c:v>
                </c:pt>
                <c:pt idx="2">
                  <c:v>0.23743757336004501</c:v>
                </c:pt>
                <c:pt idx="3">
                  <c:v>1.67378616080225</c:v>
                </c:pt>
              </c:numCache>
            </c:numRef>
          </c:xVal>
          <c:yVal>
            <c:numRef>
              <c:f>('Utt Mode B0'!$B$11,'Utt Mode B0'!$B$12,'Utt Mode B0'!$B$13,'Utt Mode B0'!$B$14)</c:f>
              <c:numCache>
                <c:formatCode>0.00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'Utt Mode B0'!$A$3:$A$6</c15:f>
                <c15:dlblRangeCache>
                  <c:ptCount val="4"/>
                  <c:pt idx="0">
                    <c:v>MDC</c:v>
                  </c:pt>
                  <c:pt idx="1">
                    <c:v>MWH</c:v>
                  </c:pt>
                  <c:pt idx="2">
                    <c:v>MYN</c:v>
                  </c:pt>
                  <c:pt idx="3">
                    <c:v>MDQ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A904-4531-8852-ADF0DD6B0E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217616"/>
        <c:axId val="386213872"/>
      </c:scatterChart>
      <c:valAx>
        <c:axId val="38621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mean 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3872"/>
        <c:crosses val="autoZero"/>
        <c:crossBetween val="midCat"/>
        <c:minorUnit val="0.5"/>
      </c:valAx>
      <c:valAx>
        <c:axId val="3862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7616"/>
        <c:crosses val="autoZero"/>
        <c:crossBetween val="midCat"/>
        <c:minorUnit val="1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2"/>
          <c:order val="0"/>
          <c:tx>
            <c:v> a. % H* L* H L*H %</c:v>
          </c:tx>
          <c:spPr>
            <a:ln w="38100">
              <a:solidFill>
                <a:srgbClr val="E66101"/>
              </a:solidFill>
            </a:ln>
          </c:spPr>
          <c:marker>
            <c:symbol val="none"/>
          </c:marker>
          <c:xVal>
            <c:numRef>
              <c:f>('mode RTH B0'!$B$26,'mode RTH B0'!$B$37)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B0'!$B$48,'mode RTH B0'!$B$59)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0"/>
          <c:order val="3"/>
          <c:tx>
            <c:v> b. % H* L*!H L*H %</c:v>
          </c:tx>
          <c:spPr>
            <a:ln w="38100">
              <a:solidFill>
                <a:srgbClr val="FF9F42"/>
              </a:solidFill>
            </a:ln>
          </c:spPr>
          <c:marker>
            <c:symbol val="none"/>
          </c:marker>
          <c:xVal>
            <c:numRef>
              <c:f>('mode RTH B0'!$B$28,'mode RTH B0'!$B$39)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  <c:extLst xmlns:c15="http://schemas.microsoft.com/office/drawing/2012/chart"/>
            </c:numRef>
          </c:xVal>
          <c:yVal>
            <c:numRef>
              <c:f>('mode RTH B0'!$B$50,'mode RTH B0'!$B$61)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ser>
          <c:idx val="1"/>
          <c:order val="4"/>
          <c:tx>
            <c:v> c. % H* L* L*H %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('mode RTH B0'!$B$25,'mode RTH B0'!$B$36)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  <c:extLst xmlns:c15="http://schemas.microsoft.com/office/drawing/2012/chart"/>
            </c:numRef>
          </c:xVal>
          <c:yVal>
            <c:numRef>
              <c:f>('mode RTH B0'!$B$47,'mode RTH B0'!$B$58)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 b. % H* L*!H L*H %</c:v>
                </c:tx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64-4DA6-AD07-82E406823E2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 b. % H* L*!H L*H %</c:v>
                </c:tx>
                <c:spPr>
                  <a:ln w="38100">
                    <a:solidFill>
                      <a:srgbClr val="1B9E77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B0'!$B$27,'mode RTH B0'!$B$38)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69.475999999999999</c:v>
                      </c:pt>
                      <c:pt idx="1">
                        <c:v>268.13499999999999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B0'!$B$49,'mode RTH B0'!$B$60)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85.177999999999997</c:v>
                      </c:pt>
                      <c:pt idx="1">
                        <c:v>91.29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B-4C93-A067-1456C06C53AF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37719198143707"/>
          <c:y val="0.24909829825297367"/>
          <c:w val="0.27489919738293583"/>
          <c:h val="0.2877971573132667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B1'!$A$6</c:f>
              <c:strCache>
                <c:ptCount val="1"/>
                <c:pt idx="0">
                  <c:v>H_Time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B1'!$B$6,'mode RTH B1'!$B$11,'mode RTH B1'!$B$16,'mode RTH B1'!$B$21,'mode RTH B1'!$B$26,'mode RTH B1'!$B$31)</c:f>
              <c:numCache>
                <c:formatCode>0</c:formatCode>
                <c:ptCount val="6"/>
                <c:pt idx="0" formatCode="0.0">
                  <c:v>-0.45100000000000001</c:v>
                </c:pt>
                <c:pt idx="1">
                  <c:v>-7.9000000000000001E-2</c:v>
                </c:pt>
                <c:pt idx="2">
                  <c:v>-15.894</c:v>
                </c:pt>
                <c:pt idx="3">
                  <c:v>0.372</c:v>
                </c:pt>
                <c:pt idx="4">
                  <c:v>-15.443</c:v>
                </c:pt>
                <c:pt idx="5">
                  <c:v>-15.815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2-4F47-B5A8-5301FC425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5" Type="http://schemas.openxmlformats.org/officeDocument/2006/relationships/chart" Target="../charts/chart54.xml"/><Relationship Id="rId10" Type="http://schemas.openxmlformats.org/officeDocument/2006/relationships/chart" Target="../charts/chart59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8.xml"/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11" Type="http://schemas.openxmlformats.org/officeDocument/2006/relationships/chart" Target="../charts/chart81.xml"/><Relationship Id="rId5" Type="http://schemas.openxmlformats.org/officeDocument/2006/relationships/chart" Target="../charts/chart75.xml"/><Relationship Id="rId10" Type="http://schemas.openxmlformats.org/officeDocument/2006/relationships/chart" Target="../charts/chart80.xml"/><Relationship Id="rId4" Type="http://schemas.openxmlformats.org/officeDocument/2006/relationships/chart" Target="../charts/chart74.xml"/><Relationship Id="rId9" Type="http://schemas.openxmlformats.org/officeDocument/2006/relationships/chart" Target="../charts/chart7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2135</xdr:rowOff>
    </xdr:from>
    <xdr:to>
      <xdr:col>4</xdr:col>
      <xdr:colOff>333600</xdr:colOff>
      <xdr:row>9</xdr:row>
      <xdr:rowOff>51635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4E17BD-7C7F-4355-97D4-C66B5DCF8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10</xdr:col>
      <xdr:colOff>333919</xdr:colOff>
      <xdr:row>11</xdr:row>
      <xdr:rowOff>112320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84F96D-69AF-499C-87CB-5B8A8C134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135975</xdr:colOff>
      <xdr:row>11</xdr:row>
      <xdr:rowOff>112320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41DE72-D5CF-47A7-A9C4-4F33D4802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4</xdr:col>
      <xdr:colOff>369600</xdr:colOff>
      <xdr:row>21</xdr:row>
      <xdr:rowOff>49500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BE902B-3603-4B99-A6E3-15DFB209D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10</xdr:col>
      <xdr:colOff>323914</xdr:colOff>
      <xdr:row>23</xdr:row>
      <xdr:rowOff>112320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1746E3E-0074-44C1-B665-FDEA97135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200025</xdr:colOff>
      <xdr:row>12</xdr:row>
      <xdr:rowOff>0</xdr:rowOff>
    </xdr:from>
    <xdr:to>
      <xdr:col>17</xdr:col>
      <xdr:colOff>72021</xdr:colOff>
      <xdr:row>23</xdr:row>
      <xdr:rowOff>112320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E5F210F-A82C-4886-9A55-F18D116CF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441152</xdr:colOff>
      <xdr:row>37</xdr:row>
      <xdr:rowOff>22500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C09E851-496D-44C3-A809-19D24B345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381000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323674</xdr:colOff>
      <xdr:row>11</xdr:row>
      <xdr:rowOff>112320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C9F45EA-3EAC-40DB-8E97-C8E6EC4F5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140458</xdr:colOff>
      <xdr:row>11</xdr:row>
      <xdr:rowOff>112320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5DC0E10-02C2-4B5C-A133-B1E8B77E7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405600</xdr:colOff>
      <xdr:row>9</xdr:row>
      <xdr:rowOff>49500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25F654F-5DE0-4D56-8C8A-E7F9B90F8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12</xdr:row>
      <xdr:rowOff>0</xdr:rowOff>
    </xdr:from>
    <xdr:to>
      <xdr:col>17</xdr:col>
      <xdr:colOff>299021</xdr:colOff>
      <xdr:row>23</xdr:row>
      <xdr:rowOff>112320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FC0FABC-B8A1-4BE5-A1D1-3504D0128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9525</xdr:rowOff>
    </xdr:from>
    <xdr:to>
      <xdr:col>4</xdr:col>
      <xdr:colOff>369600</xdr:colOff>
      <xdr:row>21</xdr:row>
      <xdr:rowOff>59025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C10C9B6-4F71-48D6-9E6C-2051A7DCC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12</xdr:row>
      <xdr:rowOff>9525</xdr:rowOff>
    </xdr:from>
    <xdr:to>
      <xdr:col>10</xdr:col>
      <xdr:colOff>323113</xdr:colOff>
      <xdr:row>23</xdr:row>
      <xdr:rowOff>121845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EFA4C34-2158-471C-B7FA-172B14C30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441600</xdr:colOff>
      <xdr:row>37</xdr:row>
      <xdr:rowOff>22500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30EC548-9D14-4192-A897-3A982DDF7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55476</xdr:rowOff>
    </xdr:from>
    <xdr:to>
      <xdr:col>7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578834</xdr:colOff>
      <xdr:row>0</xdr:row>
      <xdr:rowOff>53340</xdr:rowOff>
    </xdr:from>
    <xdr:to>
      <xdr:col>16</xdr:col>
      <xdr:colOff>198419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253014</xdr:colOff>
      <xdr:row>15</xdr:row>
      <xdr:rowOff>134804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4100D5-4EDD-4A21-8ED5-C41262975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9524</xdr:colOff>
      <xdr:row>16</xdr:row>
      <xdr:rowOff>0</xdr:rowOff>
    </xdr:from>
    <xdr:to>
      <xdr:col>23</xdr:col>
      <xdr:colOff>72039</xdr:colOff>
      <xdr:row>30</xdr:row>
      <xdr:rowOff>134804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23B589-B51E-4C0B-8FE3-0848B6D9B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2136</xdr:rowOff>
    </xdr:from>
    <xdr:to>
      <xdr:col>4</xdr:col>
      <xdr:colOff>477600</xdr:colOff>
      <xdr:row>20</xdr:row>
      <xdr:rowOff>137736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D927CBD-EB19-42B0-873A-10E7AA739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603599</xdr:colOff>
      <xdr:row>12</xdr:row>
      <xdr:rowOff>0</xdr:rowOff>
    </xdr:from>
    <xdr:to>
      <xdr:col>13</xdr:col>
      <xdr:colOff>471599</xdr:colOff>
      <xdr:row>20</xdr:row>
      <xdr:rowOff>135600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8753629-A6C8-4178-8C8A-45F03A84E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25</xdr:col>
      <xdr:colOff>589275</xdr:colOff>
      <xdr:row>43</xdr:row>
      <xdr:rowOff>112320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D6F19F96-9B6B-46B1-A798-6E3854B31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25</xdr:col>
      <xdr:colOff>589275</xdr:colOff>
      <xdr:row>55</xdr:row>
      <xdr:rowOff>112320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1CD08825-2056-4E85-AFB9-2F43B617A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142875</xdr:colOff>
      <xdr:row>32</xdr:row>
      <xdr:rowOff>0</xdr:rowOff>
    </xdr:from>
    <xdr:to>
      <xdr:col>33</xdr:col>
      <xdr:colOff>589275</xdr:colOff>
      <xdr:row>43</xdr:row>
      <xdr:rowOff>112320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37D312C5-1613-4405-A671-81AF0430B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142875</xdr:colOff>
      <xdr:row>44</xdr:row>
      <xdr:rowOff>0</xdr:rowOff>
    </xdr:from>
    <xdr:to>
      <xdr:col>33</xdr:col>
      <xdr:colOff>589275</xdr:colOff>
      <xdr:row>55</xdr:row>
      <xdr:rowOff>112320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475CC5EF-9A68-46FB-A4F9-FCB78F6D4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331200</xdr:colOff>
      <xdr:row>35</xdr:row>
      <xdr:rowOff>105000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FB8C4ECF-1C02-4167-BBC6-1343708F0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38100</xdr:colOff>
      <xdr:row>21</xdr:row>
      <xdr:rowOff>28575</xdr:rowOff>
    </xdr:from>
    <xdr:to>
      <xdr:col>12</xdr:col>
      <xdr:colOff>479700</xdr:colOff>
      <xdr:row>35</xdr:row>
      <xdr:rowOff>133575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9AA66B33-347C-4D0E-90EC-36F5C626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7</xdr:col>
      <xdr:colOff>331200</xdr:colOff>
      <xdr:row>35</xdr:row>
      <xdr:rowOff>105000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C6F5FB16-FE6E-40F6-A82B-F3B63F34B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484909</xdr:colOff>
      <xdr:row>27</xdr:row>
      <xdr:rowOff>124692</xdr:rowOff>
    </xdr:from>
    <xdr:to>
      <xdr:col>39</xdr:col>
      <xdr:colOff>72533</xdr:colOff>
      <xdr:row>54</xdr:row>
      <xdr:rowOff>107110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078103-3EA1-4892-80E3-A46DA6A3D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62755</xdr:colOff>
      <xdr:row>0</xdr:row>
      <xdr:rowOff>0</xdr:rowOff>
    </xdr:from>
    <xdr:to>
      <xdr:col>30</xdr:col>
      <xdr:colOff>12329</xdr:colOff>
      <xdr:row>26</xdr:row>
      <xdr:rowOff>35858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097F19-DB2E-4227-9934-9AA0CA569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27</xdr:row>
      <xdr:rowOff>0</xdr:rowOff>
    </xdr:from>
    <xdr:to>
      <xdr:col>29</xdr:col>
      <xdr:colOff>534681</xdr:colOff>
      <xdr:row>54</xdr:row>
      <xdr:rowOff>3201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0224BD-95B1-4964-9676-C8268208E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55</xdr:row>
      <xdr:rowOff>0</xdr:rowOff>
    </xdr:from>
    <xdr:to>
      <xdr:col>26</xdr:col>
      <xdr:colOff>266400</xdr:colOff>
      <xdr:row>70</xdr:row>
      <xdr:rowOff>142364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F2032B-AF77-4189-8F08-B5AA40B9E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55</xdr:row>
      <xdr:rowOff>0</xdr:rowOff>
    </xdr:from>
    <xdr:to>
      <xdr:col>36</xdr:col>
      <xdr:colOff>266400</xdr:colOff>
      <xdr:row>70</xdr:row>
      <xdr:rowOff>142364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3C2D4-1E2A-475F-9D5A-C0A4571B4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40</xdr:col>
      <xdr:colOff>197224</xdr:colOff>
      <xdr:row>26</xdr:row>
      <xdr:rowOff>10128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505163-B66F-4144-8BCB-FE3359B33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0</xdr:row>
      <xdr:rowOff>0</xdr:rowOff>
    </xdr:from>
    <xdr:to>
      <xdr:col>47</xdr:col>
      <xdr:colOff>230400</xdr:colOff>
      <xdr:row>17</xdr:row>
      <xdr:rowOff>66300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BA0F9BC-47C9-4359-84C5-89293B2C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247650</xdr:colOff>
      <xdr:row>0</xdr:row>
      <xdr:rowOff>0</xdr:rowOff>
    </xdr:from>
    <xdr:to>
      <xdr:col>57</xdr:col>
      <xdr:colOff>478050</xdr:colOff>
      <xdr:row>17</xdr:row>
      <xdr:rowOff>66300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4B703F-1E7E-4618-93C6-0E9F37D4D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117182</xdr:colOff>
      <xdr:row>88</xdr:row>
      <xdr:rowOff>21172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A9155EA-F0CD-490F-896D-6E9BD2D5F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120000</xdr:colOff>
      <xdr:row>13</xdr:row>
      <xdr:rowOff>114257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19C0DD5-2BD0-4A7B-940C-43768A04F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5</xdr:col>
      <xdr:colOff>120000</xdr:colOff>
      <xdr:row>28</xdr:row>
      <xdr:rowOff>114257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014C57E-F48B-4366-BFBF-40EB9E5E0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143436</xdr:colOff>
      <xdr:row>0</xdr:row>
      <xdr:rowOff>0</xdr:rowOff>
    </xdr:from>
    <xdr:to>
      <xdr:col>10</xdr:col>
      <xdr:colOff>263436</xdr:colOff>
      <xdr:row>13</xdr:row>
      <xdr:rowOff>114257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1A9F23E-D01B-403E-909E-606FEAD32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143436</xdr:colOff>
      <xdr:row>15</xdr:row>
      <xdr:rowOff>0</xdr:rowOff>
    </xdr:from>
    <xdr:to>
      <xdr:col>10</xdr:col>
      <xdr:colOff>263436</xdr:colOff>
      <xdr:row>28</xdr:row>
      <xdr:rowOff>114257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5CCEB83-30BF-4A0F-AFCD-C48A82AD2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586740</xdr:colOff>
      <xdr:row>85</xdr:row>
      <xdr:rowOff>108409</xdr:rowOff>
    </xdr:from>
    <xdr:to>
      <xdr:col>20</xdr:col>
      <xdr:colOff>490740</xdr:colOff>
      <xdr:row>98</xdr:row>
      <xdr:rowOff>176049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5C98A-0706-4C61-B9EF-613284CA5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137160</xdr:colOff>
      <xdr:row>71</xdr:row>
      <xdr:rowOff>0</xdr:rowOff>
    </xdr:from>
    <xdr:to>
      <xdr:col>15</xdr:col>
      <xdr:colOff>41160</xdr:colOff>
      <xdr:row>84</xdr:row>
      <xdr:rowOff>67641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C27F4-0981-4A74-A2DE-98AC761CA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85</xdr:row>
      <xdr:rowOff>131269</xdr:rowOff>
    </xdr:from>
    <xdr:to>
      <xdr:col>14</xdr:col>
      <xdr:colOff>513600</xdr:colOff>
      <xdr:row>99</xdr:row>
      <xdr:rowOff>13852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3B9217-D218-4C2E-B47B-3EAE7CABD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71</xdr:row>
      <xdr:rowOff>0</xdr:rowOff>
    </xdr:from>
    <xdr:to>
      <xdr:col>20</xdr:col>
      <xdr:colOff>513600</xdr:colOff>
      <xdr:row>84</xdr:row>
      <xdr:rowOff>67641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A6E13E-004F-400F-B438-1C1447C03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5</xdr:row>
      <xdr:rowOff>0</xdr:rowOff>
    </xdr:from>
    <xdr:to>
      <xdr:col>17</xdr:col>
      <xdr:colOff>160020</xdr:colOff>
      <xdr:row>23</xdr:row>
      <xdr:rowOff>3600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889CA5-8C13-4F64-989B-11584D392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9</xdr:row>
      <xdr:rowOff>0</xdr:rowOff>
    </xdr:from>
    <xdr:to>
      <xdr:col>20</xdr:col>
      <xdr:colOff>472998</xdr:colOff>
      <xdr:row>14</xdr:row>
      <xdr:rowOff>93592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7A30D3-8312-4129-80E9-582098455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472998</xdr:colOff>
      <xdr:row>6</xdr:row>
      <xdr:rowOff>93594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F8683B-214E-4E7E-B2FB-B5B08403C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367552</xdr:colOff>
      <xdr:row>27</xdr:row>
      <xdr:rowOff>0</xdr:rowOff>
    </xdr:from>
    <xdr:to>
      <xdr:col>13</xdr:col>
      <xdr:colOff>54431</xdr:colOff>
      <xdr:row>41</xdr:row>
      <xdr:rowOff>140874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03E5C6-7A4E-4778-9B7F-14173CFAC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37764</xdr:rowOff>
    </xdr:from>
    <xdr:to>
      <xdr:col>6</xdr:col>
      <xdr:colOff>21084</xdr:colOff>
      <xdr:row>41</xdr:row>
      <xdr:rowOff>176733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CF288F-B9B6-4AD4-B429-DBE3542D3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9</xdr:row>
      <xdr:rowOff>0</xdr:rowOff>
    </xdr:from>
    <xdr:to>
      <xdr:col>20</xdr:col>
      <xdr:colOff>472998</xdr:colOff>
      <xdr:row>14</xdr:row>
      <xdr:rowOff>93592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628D4-1839-4573-AA22-87FF02922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472998</xdr:colOff>
      <xdr:row>6</xdr:row>
      <xdr:rowOff>93594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1F709-1F5E-4D0F-A51C-82F6C324E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692725</xdr:colOff>
      <xdr:row>40</xdr:row>
      <xdr:rowOff>76200</xdr:rowOff>
    </xdr:from>
    <xdr:to>
      <xdr:col>12</xdr:col>
      <xdr:colOff>19383</xdr:colOff>
      <xdr:row>61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39BB76-89F1-4A65-94D0-72B3416FF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6</xdr:col>
      <xdr:colOff>27698</xdr:colOff>
      <xdr:row>62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8FEE60-1A86-4DD8-9317-946C99152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590549</xdr:colOff>
      <xdr:row>40</xdr:row>
      <xdr:rowOff>183930</xdr:rowOff>
    </xdr:from>
    <xdr:to>
      <xdr:col>15</xdr:col>
      <xdr:colOff>176814</xdr:colOff>
      <xdr:row>48</xdr:row>
      <xdr:rowOff>135930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04E368-488E-4B6E-86BA-28DED7169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52</xdr:row>
      <xdr:rowOff>0</xdr:rowOff>
    </xdr:from>
    <xdr:to>
      <xdr:col>16</xdr:col>
      <xdr:colOff>68400</xdr:colOff>
      <xdr:row>59</xdr:row>
      <xdr:rowOff>178500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2A7F2CB-6FF1-4208-86DD-27F9B241F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4482</xdr:colOff>
      <xdr:row>41</xdr:row>
      <xdr:rowOff>0</xdr:rowOff>
    </xdr:from>
    <xdr:to>
      <xdr:col>19</xdr:col>
      <xdr:colOff>520834</xdr:colOff>
      <xdr:row>48</xdr:row>
      <xdr:rowOff>142500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60BE44-B6AA-49DB-942D-5BD4D3E93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41</xdr:row>
      <xdr:rowOff>0</xdr:rowOff>
    </xdr:from>
    <xdr:to>
      <xdr:col>23</xdr:col>
      <xdr:colOff>180176</xdr:colOff>
      <xdr:row>48</xdr:row>
      <xdr:rowOff>142500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06B15E-6C3E-4353-9196-61DECB71C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41</xdr:row>
      <xdr:rowOff>0</xdr:rowOff>
    </xdr:from>
    <xdr:to>
      <xdr:col>26</xdr:col>
      <xdr:colOff>180176</xdr:colOff>
      <xdr:row>48</xdr:row>
      <xdr:rowOff>142500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CACC3F2-A584-4B0F-9EEC-C14A00FAD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16</xdr:row>
      <xdr:rowOff>220308</xdr:rowOff>
    </xdr:from>
    <xdr:to>
      <xdr:col>22</xdr:col>
      <xdr:colOff>322249</xdr:colOff>
      <xdr:row>24</xdr:row>
      <xdr:rowOff>106682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CF402-602B-44D9-ACD7-62ED91EE0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2577</xdr:colOff>
      <xdr:row>16</xdr:row>
      <xdr:rowOff>0</xdr:rowOff>
    </xdr:from>
    <xdr:to>
      <xdr:col>32</xdr:col>
      <xdr:colOff>335249</xdr:colOff>
      <xdr:row>23</xdr:row>
      <xdr:rowOff>163285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4019C3-59CA-463E-928D-E19742383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585270</xdr:colOff>
      <xdr:row>1</xdr:row>
      <xdr:rowOff>0</xdr:rowOff>
    </xdr:from>
    <xdr:to>
      <xdr:col>17</xdr:col>
      <xdr:colOff>529644</xdr:colOff>
      <xdr:row>6</xdr:row>
      <xdr:rowOff>198517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41A84-6412-47E0-825C-A0C4E0212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585270</xdr:colOff>
      <xdr:row>12</xdr:row>
      <xdr:rowOff>0</xdr:rowOff>
    </xdr:from>
    <xdr:to>
      <xdr:col>17</xdr:col>
      <xdr:colOff>529644</xdr:colOff>
      <xdr:row>17</xdr:row>
      <xdr:rowOff>198517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D151A-BE35-436D-9EF5-DE0397500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182977</xdr:colOff>
      <xdr:row>6</xdr:row>
      <xdr:rowOff>207892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D58C7-FDA2-4791-9C36-1A93F3399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12</xdr:row>
      <xdr:rowOff>0</xdr:rowOff>
    </xdr:from>
    <xdr:to>
      <xdr:col>22</xdr:col>
      <xdr:colOff>179167</xdr:colOff>
      <xdr:row>17</xdr:row>
      <xdr:rowOff>207892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3DDCF7-8CFF-4CEB-9C71-03CF261B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17</xdr:col>
      <xdr:colOff>445319</xdr:colOff>
      <xdr:row>6</xdr:row>
      <xdr:rowOff>199537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17CF1-5DA7-44A4-9780-43B8DA181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17</xdr:col>
      <xdr:colOff>445319</xdr:colOff>
      <xdr:row>17</xdr:row>
      <xdr:rowOff>199536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377F5-3D33-4DAF-B7A9-4A0970EE2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181072</xdr:colOff>
      <xdr:row>6</xdr:row>
      <xdr:rowOff>211702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959696-1363-4102-B64F-F88A790A0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11</xdr:row>
      <xdr:rowOff>402167</xdr:rowOff>
    </xdr:from>
    <xdr:to>
      <xdr:col>22</xdr:col>
      <xdr:colOff>177262</xdr:colOff>
      <xdr:row>17</xdr:row>
      <xdr:rowOff>190535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D62330-B577-4454-9AB1-776D3FB21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27</xdr:col>
      <xdr:colOff>179166</xdr:colOff>
      <xdr:row>6</xdr:row>
      <xdr:rowOff>207892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E0954C-85F5-4AA1-A98A-D311C0B10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11</xdr:row>
      <xdr:rowOff>398357</xdr:rowOff>
    </xdr:from>
    <xdr:to>
      <xdr:col>27</xdr:col>
      <xdr:colOff>173451</xdr:colOff>
      <xdr:row>17</xdr:row>
      <xdr:rowOff>190535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D7F568-81C4-4123-B747-6AF3DE204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4</xdr:col>
      <xdr:colOff>502715</xdr:colOff>
      <xdr:row>17</xdr:row>
      <xdr:rowOff>181500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E21C6-E81B-4F09-B4A1-8E6606041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4</xdr:col>
      <xdr:colOff>106714</xdr:colOff>
      <xdr:row>34</xdr:row>
      <xdr:rowOff>22500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7B50F4-B9CA-4068-8BAB-DAF99919F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11</xdr:col>
      <xdr:colOff>106071</xdr:colOff>
      <xdr:row>17</xdr:row>
      <xdr:rowOff>181500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C97C026-E632-481F-92AE-05826F416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10</xdr:col>
      <xdr:colOff>178393</xdr:colOff>
      <xdr:row>34</xdr:row>
      <xdr:rowOff>22500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B00D24D-EEBB-441A-A632-1307B18E3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</xdr:colOff>
      <xdr:row>39</xdr:row>
      <xdr:rowOff>0</xdr:rowOff>
    </xdr:from>
    <xdr:to>
      <xdr:col>11</xdr:col>
      <xdr:colOff>430715</xdr:colOff>
      <xdr:row>54</xdr:row>
      <xdr:rowOff>22500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9DC1B7-A656-4C27-8FD4-8B7B42E1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0</xdr:row>
      <xdr:rowOff>0</xdr:rowOff>
    </xdr:from>
    <xdr:to>
      <xdr:col>17</xdr:col>
      <xdr:colOff>5598</xdr:colOff>
      <xdr:row>17</xdr:row>
      <xdr:rowOff>181500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FA542F1-8547-49F6-951A-8F3AE0357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17</xdr:col>
      <xdr:colOff>5597</xdr:colOff>
      <xdr:row>36</xdr:row>
      <xdr:rowOff>181500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C172451-6F41-400A-B663-E10AF2BEC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354244</xdr:colOff>
      <xdr:row>17</xdr:row>
      <xdr:rowOff>181500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BE5104C-E937-428C-A4B1-F20B4F97A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23</xdr:col>
      <xdr:colOff>354244</xdr:colOff>
      <xdr:row>36</xdr:row>
      <xdr:rowOff>139194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96FB5C1-FF3C-4AD4-B466-67062E9FB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39</xdr:row>
      <xdr:rowOff>0</xdr:rowOff>
    </xdr:from>
    <xdr:to>
      <xdr:col>16</xdr:col>
      <xdr:colOff>430714</xdr:colOff>
      <xdr:row>54</xdr:row>
      <xdr:rowOff>22500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E1951A-BE29-4240-BBB1-EF43D382D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549089</xdr:colOff>
      <xdr:row>39</xdr:row>
      <xdr:rowOff>100853</xdr:rowOff>
    </xdr:from>
    <xdr:to>
      <xdr:col>21</xdr:col>
      <xdr:colOff>378494</xdr:colOff>
      <xdr:row>54</xdr:row>
      <xdr:rowOff>119544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943271-8737-4802-A494-4210B57DD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r2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1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r2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r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r2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r2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1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1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1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1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0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r2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0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r2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r2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r2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b0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r2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1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b1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Utterance%20and%20phonetic%20params/output/utt_f0_mode_only_b0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Utterance%20and%20phonetic%20params/output/utt_f0_full_phon_b0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Utterance%20and%20phonetic%20params/output/utt_slope_full_phon_b0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Utterance%20and%20phonetic%20params/output/utt_f0_mode_only_b1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Utterance%20and%20phonetic%20params/output/utt_slope_mode_only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r2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Utterance%20and%20phonetic%20params/output/utt_f0_full_phon_b1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Utterance%20and%20phonetic%20params/output/utt_slope_full_phon_b1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Phonological%20Analysi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0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r2"/>
    </sheetNames>
    <sheetDataSet>
      <sheetData sheetId="0">
        <row r="2">
          <cell r="B2">
            <v>0.92799109672532598</v>
          </cell>
        </row>
        <row r="3">
          <cell r="B3">
            <v>3.8351665334162899E-2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0.40600000000000003</v>
          </cell>
          <cell r="D2">
            <v>-2.8919059791888E-2</v>
          </cell>
          <cell r="E2">
            <v>0.84155505854439805</v>
          </cell>
          <cell r="F2">
            <v>0.222</v>
          </cell>
          <cell r="G2">
            <v>1.833</v>
          </cell>
          <cell r="H2">
            <v>615.98</v>
          </cell>
          <cell r="I2">
            <v>6.7000000000000004E-2</v>
          </cell>
          <cell r="J2">
            <v>0.10199999999999999</v>
          </cell>
        </row>
        <row r="3">
          <cell r="C3">
            <v>1.7190000000000001</v>
          </cell>
          <cell r="D3">
            <v>1.2820173565612201</v>
          </cell>
          <cell r="E3">
            <v>2.1559517370543801</v>
          </cell>
          <cell r="F3">
            <v>0.223</v>
          </cell>
          <cell r="G3">
            <v>7.7249999999999996</v>
          </cell>
          <cell r="H3">
            <v>616.12</v>
          </cell>
          <cell r="I3">
            <v>4.4999999999999998E-14</v>
          </cell>
          <cell r="J3">
            <v>2.7000000000000001E-13</v>
          </cell>
          <cell r="K3" t="str">
            <v>p&lt;0.0001</v>
          </cell>
        </row>
        <row r="4">
          <cell r="C4">
            <v>4.5129999999999999</v>
          </cell>
          <cell r="D4">
            <v>4.0445700089698402</v>
          </cell>
          <cell r="E4">
            <v>4.9805125669845403</v>
          </cell>
          <cell r="F4">
            <v>0.23799999999999999</v>
          </cell>
          <cell r="G4">
            <v>18.937000000000001</v>
          </cell>
          <cell r="H4">
            <v>617.96</v>
          </cell>
          <cell r="I4">
            <v>2.0999999999999999E-63</v>
          </cell>
          <cell r="J4">
            <v>2.0000000000000001E-61</v>
          </cell>
          <cell r="K4" t="str">
            <v>p&lt;0.0001</v>
          </cell>
        </row>
        <row r="5">
          <cell r="C5">
            <v>1.3129999999999999</v>
          </cell>
          <cell r="D5">
            <v>0.87631793303014605</v>
          </cell>
          <cell r="E5">
            <v>1.74901516185067</v>
          </cell>
          <cell r="F5">
            <v>0.222</v>
          </cell>
          <cell r="G5">
            <v>5.9080000000000004</v>
          </cell>
          <cell r="H5">
            <v>616.16999999999996</v>
          </cell>
          <cell r="I5">
            <v>5.6999999999999998E-9</v>
          </cell>
          <cell r="J5">
            <v>2.4E-8</v>
          </cell>
          <cell r="K5" t="str">
            <v>p&lt;0.0001</v>
          </cell>
        </row>
        <row r="6">
          <cell r="C6">
            <v>4.1059999999999999</v>
          </cell>
          <cell r="D6">
            <v>3.6374300581047301</v>
          </cell>
          <cell r="E6">
            <v>4.5750165191850796</v>
          </cell>
          <cell r="F6">
            <v>0.23899999999999999</v>
          </cell>
          <cell r="G6">
            <v>17.201000000000001</v>
          </cell>
          <cell r="H6">
            <v>618.02</v>
          </cell>
          <cell r="I6">
            <v>1.7999999999999999E-54</v>
          </cell>
          <cell r="J6">
            <v>8.5999999999999999E-53</v>
          </cell>
          <cell r="K6" t="str">
            <v>p&lt;0.0001</v>
          </cell>
        </row>
        <row r="7">
          <cell r="C7">
            <v>2.794</v>
          </cell>
          <cell r="D7">
            <v>2.3362844730857</v>
          </cell>
          <cell r="E7">
            <v>3.25082900924733</v>
          </cell>
          <cell r="F7">
            <v>0.23300000000000001</v>
          </cell>
          <cell r="G7">
            <v>11.997</v>
          </cell>
          <cell r="H7">
            <v>617.52</v>
          </cell>
          <cell r="I7">
            <v>5.8999999999999998E-30</v>
          </cell>
          <cell r="J7">
            <v>1.1E-28</v>
          </cell>
          <cell r="K7" t="str">
            <v>p&lt;0.0001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0.40400000000000003</v>
          </cell>
          <cell r="D2">
            <v>-3.53378949890865</v>
          </cell>
          <cell r="E2">
            <v>4.3412529801935902</v>
          </cell>
          <cell r="F2">
            <v>2.0049999999999999</v>
          </cell>
          <cell r="G2">
            <v>0.20100000000000001</v>
          </cell>
          <cell r="H2">
            <v>610.88</v>
          </cell>
          <cell r="I2">
            <v>0.84</v>
          </cell>
          <cell r="J2">
            <v>0.92900000000000005</v>
          </cell>
        </row>
        <row r="3">
          <cell r="C3">
            <v>-2.2949999999999999</v>
          </cell>
          <cell r="D3">
            <v>-6.2598052359264003</v>
          </cell>
          <cell r="E3">
            <v>1.66925440242729</v>
          </cell>
          <cell r="F3">
            <v>2.0190000000000001</v>
          </cell>
          <cell r="G3">
            <v>-1.137</v>
          </cell>
          <cell r="H3">
            <v>611.71</v>
          </cell>
          <cell r="I3">
            <v>0.25600000000000001</v>
          </cell>
          <cell r="J3">
            <v>0.34100000000000003</v>
          </cell>
        </row>
        <row r="4">
          <cell r="C4">
            <v>-21.047999999999998</v>
          </cell>
          <cell r="D4">
            <v>-25.261320323500598</v>
          </cell>
          <cell r="E4">
            <v>-16.835440861919501</v>
          </cell>
          <cell r="F4">
            <v>2.145</v>
          </cell>
          <cell r="G4">
            <v>-9.8119999999999994</v>
          </cell>
          <cell r="H4">
            <v>597.23</v>
          </cell>
          <cell r="I4">
            <v>3.5999999999999999E-21</v>
          </cell>
          <cell r="J4">
            <v>3.5E-20</v>
          </cell>
          <cell r="K4" t="str">
            <v>p&lt;0.0001</v>
          </cell>
        </row>
        <row r="5">
          <cell r="C5">
            <v>-2.6989999999999998</v>
          </cell>
          <cell r="D5">
            <v>-6.6517684461969697</v>
          </cell>
          <cell r="E5">
            <v>1.25375413125451</v>
          </cell>
          <cell r="F5">
            <v>2.0129999999999999</v>
          </cell>
          <cell r="G5">
            <v>-1.341</v>
          </cell>
          <cell r="H5">
            <v>611.91</v>
          </cell>
          <cell r="I5">
            <v>0.18</v>
          </cell>
          <cell r="J5">
            <v>0.247</v>
          </cell>
        </row>
        <row r="6">
          <cell r="C6">
            <v>-21.452000000000002</v>
          </cell>
          <cell r="D6">
            <v>-25.665332374712499</v>
          </cell>
          <cell r="E6">
            <v>-17.238892292556901</v>
          </cell>
          <cell r="F6">
            <v>2.145</v>
          </cell>
          <cell r="G6">
            <v>-10</v>
          </cell>
          <cell r="H6">
            <v>595.95000000000005</v>
          </cell>
          <cell r="I6">
            <v>7.1999999999999996E-22</v>
          </cell>
          <cell r="J6">
            <v>7.6999999999999998E-21</v>
          </cell>
          <cell r="K6" t="str">
            <v>p&lt;0.0001</v>
          </cell>
        </row>
        <row r="7">
          <cell r="C7">
            <v>-18.753</v>
          </cell>
          <cell r="D7">
            <v>-22.880955572601501</v>
          </cell>
          <cell r="E7">
            <v>-14.6252548065235</v>
          </cell>
          <cell r="F7">
            <v>2.1019999999999999</v>
          </cell>
          <cell r="G7">
            <v>-8.9220000000000006</v>
          </cell>
          <cell r="H7">
            <v>609.03</v>
          </cell>
          <cell r="I7">
            <v>5.3000000000000003E-18</v>
          </cell>
          <cell r="J7">
            <v>4.1999999999999998E-17</v>
          </cell>
          <cell r="K7" t="str">
            <v>p&lt;0.0001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-0.373</v>
          </cell>
          <cell r="D2">
            <v>-6.1763930344414302</v>
          </cell>
          <cell r="E2">
            <v>5.4313420393882499</v>
          </cell>
          <cell r="F2">
            <v>2.9550000000000001</v>
          </cell>
          <cell r="G2">
            <v>-0.126</v>
          </cell>
          <cell r="H2">
            <v>613.04</v>
          </cell>
          <cell r="I2">
            <v>0.9</v>
          </cell>
          <cell r="J2">
            <v>0.93799999999999994</v>
          </cell>
        </row>
        <row r="3">
          <cell r="C3">
            <v>-2.4780000000000002</v>
          </cell>
          <cell r="D3">
            <v>-8.3141427567449906</v>
          </cell>
          <cell r="E3">
            <v>3.35911257504572</v>
          </cell>
          <cell r="F3">
            <v>2.972</v>
          </cell>
          <cell r="G3">
            <v>-0.83399999999999996</v>
          </cell>
          <cell r="H3">
            <v>613.15</v>
          </cell>
          <cell r="I3">
            <v>0.40500000000000003</v>
          </cell>
          <cell r="J3">
            <v>0.51200000000000001</v>
          </cell>
        </row>
        <row r="4">
          <cell r="C4">
            <v>-16.834</v>
          </cell>
          <cell r="D4">
            <v>-23.078068753224699</v>
          </cell>
          <cell r="E4">
            <v>-10.5904726214682</v>
          </cell>
          <cell r="F4">
            <v>3.1789999999999998</v>
          </cell>
          <cell r="G4">
            <v>-5.2949999999999999</v>
          </cell>
          <cell r="H4">
            <v>614.88</v>
          </cell>
          <cell r="I4">
            <v>1.6999999999999999E-7</v>
          </cell>
          <cell r="J4">
            <v>6.7999999999999995E-7</v>
          </cell>
          <cell r="K4" t="str">
            <v>p&lt;0.0001</v>
          </cell>
        </row>
        <row r="5">
          <cell r="C5">
            <v>-2.105</v>
          </cell>
          <cell r="D5">
            <v>-7.9337797320526899</v>
          </cell>
          <cell r="E5">
            <v>3.7238005439951198</v>
          </cell>
          <cell r="F5">
            <v>2.968</v>
          </cell>
          <cell r="G5">
            <v>-0.70899999999999996</v>
          </cell>
          <cell r="H5">
            <v>613.21</v>
          </cell>
          <cell r="I5">
            <v>0.47799999999999998</v>
          </cell>
          <cell r="J5">
            <v>0.58099999999999996</v>
          </cell>
        </row>
        <row r="6">
          <cell r="C6">
            <v>-16.462</v>
          </cell>
          <cell r="D6">
            <v>-22.716913416964701</v>
          </cell>
          <cell r="E6">
            <v>-10.206576965677501</v>
          </cell>
          <cell r="F6">
            <v>3.1850000000000001</v>
          </cell>
          <cell r="G6">
            <v>-5.1680000000000001</v>
          </cell>
          <cell r="H6">
            <v>615</v>
          </cell>
          <cell r="I6">
            <v>3.2000000000000001E-7</v>
          </cell>
          <cell r="J6">
            <v>1.1999999999999999E-6</v>
          </cell>
          <cell r="K6" t="str">
            <v>p&lt;0.0001</v>
          </cell>
        </row>
        <row r="7">
          <cell r="C7">
            <v>-14.356999999999999</v>
          </cell>
          <cell r="D7">
            <v>-20.468165663037698</v>
          </cell>
          <cell r="E7">
            <v>-8.2453455316897895</v>
          </cell>
          <cell r="F7">
            <v>3.1120000000000001</v>
          </cell>
          <cell r="G7">
            <v>-4.6130000000000004</v>
          </cell>
          <cell r="H7">
            <v>614.38</v>
          </cell>
          <cell r="I7">
            <v>4.7999999999999998E-6</v>
          </cell>
          <cell r="J7">
            <v>1.5E-5</v>
          </cell>
          <cell r="K7" t="str">
            <v>p&lt;0.0001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E1" t="str">
            <v>std.error</v>
          </cell>
        </row>
        <row r="2">
          <cell r="B2">
            <v>83.99</v>
          </cell>
          <cell r="C2">
            <v>80.453351074980304</v>
          </cell>
          <cell r="D2">
            <v>87.527230630068203</v>
          </cell>
          <cell r="E2">
            <v>1.623</v>
          </cell>
          <cell r="F2">
            <v>51.753</v>
          </cell>
          <cell r="G2">
            <v>11.97</v>
          </cell>
          <cell r="H2">
            <v>1.9000000000000001E-15</v>
          </cell>
          <cell r="I2">
            <v>1.1999999999999999E-14</v>
          </cell>
          <cell r="J2" t="str">
            <v>p&lt;0.0001</v>
          </cell>
        </row>
        <row r="3">
          <cell r="B3">
            <v>84.075999999999993</v>
          </cell>
          <cell r="C3">
            <v>80.539039447165607</v>
          </cell>
          <cell r="D3">
            <v>87.613137543283798</v>
          </cell>
          <cell r="E3">
            <v>1.623</v>
          </cell>
          <cell r="F3">
            <v>51.802999999999997</v>
          </cell>
          <cell r="G3">
            <v>11.97</v>
          </cell>
          <cell r="H3">
            <v>1.9000000000000001E-15</v>
          </cell>
          <cell r="I3">
            <v>1.1999999999999999E-14</v>
          </cell>
          <cell r="J3" t="str">
            <v>p&lt;0.0001</v>
          </cell>
        </row>
        <row r="4">
          <cell r="B4">
            <v>85.177999999999997</v>
          </cell>
          <cell r="C4">
            <v>81.639854239581595</v>
          </cell>
          <cell r="D4">
            <v>88.716349917043104</v>
          </cell>
          <cell r="E4">
            <v>1.6240000000000001</v>
          </cell>
          <cell r="F4">
            <v>52.45</v>
          </cell>
          <cell r="G4">
            <v>12</v>
          </cell>
          <cell r="H4">
            <v>1.4999999999999999E-15</v>
          </cell>
          <cell r="I4">
            <v>1.1999999999999999E-14</v>
          </cell>
          <cell r="J4" t="str">
            <v>p&lt;0.0001</v>
          </cell>
        </row>
        <row r="5">
          <cell r="B5">
            <v>85.031999999999996</v>
          </cell>
          <cell r="C5">
            <v>81.489369407447299</v>
          </cell>
          <cell r="D5">
            <v>88.574801692886098</v>
          </cell>
          <cell r="E5">
            <v>1.6279999999999999</v>
          </cell>
          <cell r="F5">
            <v>52.24</v>
          </cell>
          <cell r="G5">
            <v>12.12</v>
          </cell>
          <cell r="H5">
            <v>1.2E-15</v>
          </cell>
          <cell r="I5">
            <v>1.1999999999999999E-14</v>
          </cell>
          <cell r="J5" t="str">
            <v>p&lt;0.0001</v>
          </cell>
        </row>
        <row r="6">
          <cell r="B6">
            <v>83.99</v>
          </cell>
          <cell r="C6">
            <v>80.453351074980304</v>
          </cell>
          <cell r="D6">
            <v>87.527230630068203</v>
          </cell>
          <cell r="E6">
            <v>1.623</v>
          </cell>
          <cell r="F6">
            <v>51.753</v>
          </cell>
          <cell r="G6">
            <v>11.97</v>
          </cell>
          <cell r="H6">
            <v>1.9000000000000001E-15</v>
          </cell>
          <cell r="I6">
            <v>1.1999999999999999E-14</v>
          </cell>
          <cell r="J6" t="str">
            <v>p&lt;0.0001</v>
          </cell>
        </row>
        <row r="7">
          <cell r="B7">
            <v>86.87</v>
          </cell>
          <cell r="C7">
            <v>83.113022861423701</v>
          </cell>
          <cell r="D7">
            <v>90.627605751172297</v>
          </cell>
          <cell r="E7">
            <v>1.7849999999999999</v>
          </cell>
          <cell r="F7">
            <v>48.677999999999997</v>
          </cell>
          <cell r="G7">
            <v>17.48</v>
          </cell>
          <cell r="H7">
            <v>4.1000000000000001E-20</v>
          </cell>
          <cell r="I7">
            <v>2.6E-18</v>
          </cell>
          <cell r="J7" t="str">
            <v>p&lt;0.0001</v>
          </cell>
        </row>
        <row r="8">
          <cell r="B8">
            <v>84.706999999999994</v>
          </cell>
          <cell r="C8">
            <v>81.133638575482294</v>
          </cell>
          <cell r="D8">
            <v>88.279591427499099</v>
          </cell>
          <cell r="E8">
            <v>1.6519999999999999</v>
          </cell>
          <cell r="F8">
            <v>51.277000000000001</v>
          </cell>
          <cell r="G8">
            <v>12.85</v>
          </cell>
          <cell r="H8">
            <v>2.9999999999999999E-16</v>
          </cell>
          <cell r="I8">
            <v>6.3999999999999999E-15</v>
          </cell>
          <cell r="J8" t="str">
            <v>p&lt;0.0001</v>
          </cell>
        </row>
        <row r="9">
          <cell r="B9">
            <v>86.724000000000004</v>
          </cell>
          <cell r="C9">
            <v>83.164863235291506</v>
          </cell>
          <cell r="D9">
            <v>90.282187472808502</v>
          </cell>
          <cell r="E9">
            <v>1.641</v>
          </cell>
          <cell r="F9">
            <v>52.862000000000002</v>
          </cell>
          <cell r="G9">
            <v>12.5</v>
          </cell>
          <cell r="H9">
            <v>4.5000000000000002E-16</v>
          </cell>
          <cell r="I9">
            <v>7.2000000000000002E-15</v>
          </cell>
          <cell r="J9" t="str">
            <v>p&lt;0.0001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0.95092595995270601</v>
          </cell>
        </row>
        <row r="3">
          <cell r="B3">
            <v>5.6672945964226902E-2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B2">
            <v>90.16</v>
          </cell>
          <cell r="C2">
            <v>86.123044297759193</v>
          </cell>
          <cell r="D2">
            <v>94.197953153150294</v>
          </cell>
          <cell r="E2">
            <v>1.8029999999999999</v>
          </cell>
          <cell r="F2">
            <v>50.005000000000003</v>
          </cell>
          <cell r="G2">
            <v>9.65</v>
          </cell>
          <cell r="H2">
            <v>5.6000000000000004E-13</v>
          </cell>
          <cell r="I2">
            <v>1.2999999999999999E-12</v>
          </cell>
          <cell r="J2" t="str">
            <v>p&lt;0.0001</v>
          </cell>
        </row>
        <row r="3">
          <cell r="B3">
            <v>90.578000000000003</v>
          </cell>
          <cell r="C3">
            <v>86.540423226981304</v>
          </cell>
          <cell r="D3">
            <v>94.615525956752506</v>
          </cell>
          <cell r="E3">
            <v>1.8029999999999999</v>
          </cell>
          <cell r="F3">
            <v>50.234000000000002</v>
          </cell>
          <cell r="G3">
            <v>9.65</v>
          </cell>
          <cell r="H3">
            <v>5.4000000000000002E-13</v>
          </cell>
          <cell r="I3">
            <v>1.2999999999999999E-12</v>
          </cell>
          <cell r="J3" t="str">
            <v>p&lt;0.0001</v>
          </cell>
        </row>
        <row r="4">
          <cell r="B4">
            <v>91.29</v>
          </cell>
          <cell r="C4">
            <v>87.250257427373995</v>
          </cell>
          <cell r="D4">
            <v>95.329182325812198</v>
          </cell>
          <cell r="E4">
            <v>1.8049999999999999</v>
          </cell>
          <cell r="F4">
            <v>50.573999999999998</v>
          </cell>
          <cell r="G4">
            <v>9.69</v>
          </cell>
          <cell r="H4">
            <v>4.5999999999999996E-13</v>
          </cell>
          <cell r="I4">
            <v>1.1999999999999999E-12</v>
          </cell>
          <cell r="J4" t="str">
            <v>p&lt;0.0001</v>
          </cell>
        </row>
        <row r="5">
          <cell r="B5">
            <v>92.46</v>
          </cell>
          <cell r="C5">
            <v>88.4166650104154</v>
          </cell>
          <cell r="D5">
            <v>96.5043111301473</v>
          </cell>
          <cell r="E5">
            <v>1.81</v>
          </cell>
          <cell r="F5">
            <v>51.093000000000004</v>
          </cell>
          <cell r="G5">
            <v>9.7899999999999991</v>
          </cell>
          <cell r="H5">
            <v>3.3000000000000001E-13</v>
          </cell>
          <cell r="I5">
            <v>8.7000000000000003E-13</v>
          </cell>
          <cell r="J5" t="str">
            <v>p&lt;0.0001</v>
          </cell>
        </row>
        <row r="6">
          <cell r="B6">
            <v>90.16</v>
          </cell>
          <cell r="C6">
            <v>86.123044297759193</v>
          </cell>
          <cell r="D6">
            <v>94.197953153150294</v>
          </cell>
          <cell r="E6">
            <v>1.8029999999999999</v>
          </cell>
          <cell r="F6">
            <v>50.005000000000003</v>
          </cell>
          <cell r="G6">
            <v>9.65</v>
          </cell>
          <cell r="H6">
            <v>5.6000000000000004E-13</v>
          </cell>
          <cell r="I6">
            <v>1.2999999999999999E-12</v>
          </cell>
          <cell r="J6" t="str">
            <v>p&lt;0.0001</v>
          </cell>
        </row>
        <row r="7">
          <cell r="B7">
            <v>89.887</v>
          </cell>
          <cell r="C7">
            <v>85.459720267774003</v>
          </cell>
          <cell r="D7">
            <v>94.315126074610902</v>
          </cell>
          <cell r="E7">
            <v>2.1070000000000002</v>
          </cell>
          <cell r="F7">
            <v>42.664000000000001</v>
          </cell>
          <cell r="G7">
            <v>17.920000000000002</v>
          </cell>
          <cell r="H7">
            <v>1.8000000000000001E-19</v>
          </cell>
          <cell r="I7">
            <v>5.6999999999999997E-18</v>
          </cell>
          <cell r="J7" t="str">
            <v>p&lt;0.0001</v>
          </cell>
        </row>
        <row r="8">
          <cell r="B8">
            <v>93.736999999999995</v>
          </cell>
          <cell r="C8">
            <v>89.644798852053697</v>
          </cell>
          <cell r="D8">
            <v>97.829742545249303</v>
          </cell>
          <cell r="E8">
            <v>1.8560000000000001</v>
          </cell>
          <cell r="F8">
            <v>50.515000000000001</v>
          </cell>
          <cell r="G8">
            <v>10.82</v>
          </cell>
          <cell r="H8">
            <v>3.4E-14</v>
          </cell>
          <cell r="I8">
            <v>1.1E-13</v>
          </cell>
          <cell r="J8" t="str">
            <v>p&lt;0.0001</v>
          </cell>
        </row>
        <row r="9">
          <cell r="B9">
            <v>93.728999999999999</v>
          </cell>
          <cell r="C9">
            <v>89.656987762284302</v>
          </cell>
          <cell r="D9">
            <v>97.800438525461999</v>
          </cell>
          <cell r="E9">
            <v>1.8360000000000001</v>
          </cell>
          <cell r="F9">
            <v>51.037999999999997</v>
          </cell>
          <cell r="G9">
            <v>10.38</v>
          </cell>
          <cell r="H9">
            <v>8.3999999999999995E-14</v>
          </cell>
          <cell r="I9">
            <v>2.2999999999999998E-13</v>
          </cell>
          <cell r="J9" t="str">
            <v>p&lt;0.0001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0.90843440193036995</v>
          </cell>
        </row>
        <row r="3">
          <cell r="B3">
            <v>0.119041298332575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B2">
            <v>67.408000000000001</v>
          </cell>
          <cell r="C2">
            <v>45.906075043170702</v>
          </cell>
          <cell r="D2">
            <v>88.909427524989596</v>
          </cell>
          <cell r="E2">
            <v>9.8879999999999999</v>
          </cell>
          <cell r="F2">
            <v>6.8170000000000002</v>
          </cell>
          <cell r="G2">
            <v>12.22</v>
          </cell>
          <cell r="H2">
            <v>1.7E-5</v>
          </cell>
          <cell r="I2">
            <v>2.8E-5</v>
          </cell>
          <cell r="J2" t="str">
            <v>p&lt;0.0001</v>
          </cell>
        </row>
        <row r="3">
          <cell r="B3">
            <v>67.731999999999999</v>
          </cell>
          <cell r="C3">
            <v>46.229535903865603</v>
          </cell>
          <cell r="D3">
            <v>89.235346654396906</v>
          </cell>
          <cell r="E3">
            <v>9.8889999999999993</v>
          </cell>
          <cell r="F3">
            <v>6.8490000000000002</v>
          </cell>
          <cell r="G3">
            <v>12.22</v>
          </cell>
          <cell r="H3">
            <v>1.5999999999999999E-5</v>
          </cell>
          <cell r="I3">
            <v>2.8E-5</v>
          </cell>
          <cell r="J3" t="str">
            <v>p&lt;0.0001</v>
          </cell>
        </row>
        <row r="4">
          <cell r="B4">
            <v>69.475999999999999</v>
          </cell>
          <cell r="C4">
            <v>47.925440531509501</v>
          </cell>
          <cell r="D4">
            <v>91.026647140951795</v>
          </cell>
          <cell r="E4">
            <v>9.9280000000000008</v>
          </cell>
          <cell r="F4">
            <v>6.9980000000000002</v>
          </cell>
          <cell r="G4">
            <v>12.42</v>
          </cell>
          <cell r="H4">
            <v>1.2E-5</v>
          </cell>
          <cell r="I4">
            <v>2.3E-5</v>
          </cell>
          <cell r="J4" t="str">
            <v>p&lt;0.0001</v>
          </cell>
        </row>
        <row r="5">
          <cell r="B5">
            <v>47.040999999999997</v>
          </cell>
          <cell r="C5">
            <v>25.381162659949101</v>
          </cell>
          <cell r="D5">
            <v>68.701789806570204</v>
          </cell>
          <cell r="E5">
            <v>10.022</v>
          </cell>
          <cell r="F5">
            <v>4.694</v>
          </cell>
          <cell r="G5">
            <v>12.95</v>
          </cell>
          <cell r="H5">
            <v>4.2000000000000002E-4</v>
          </cell>
          <cell r="I5">
            <v>5.1999999999999995E-4</v>
          </cell>
          <cell r="J5" t="str">
            <v>p&lt;0.001</v>
          </cell>
        </row>
        <row r="6">
          <cell r="B6">
            <v>67.408000000000001</v>
          </cell>
          <cell r="C6">
            <v>45.906075043170702</v>
          </cell>
          <cell r="D6">
            <v>88.909427524989596</v>
          </cell>
          <cell r="E6">
            <v>9.8879999999999999</v>
          </cell>
          <cell r="F6">
            <v>6.8170000000000002</v>
          </cell>
          <cell r="G6">
            <v>12.22</v>
          </cell>
          <cell r="H6">
            <v>1.7E-5</v>
          </cell>
          <cell r="I6">
            <v>2.8E-5</v>
          </cell>
          <cell r="J6" t="str">
            <v>p&lt;0.0001</v>
          </cell>
        </row>
        <row r="7">
          <cell r="B7">
            <v>81.248999999999995</v>
          </cell>
          <cell r="C7">
            <v>51.745674146421401</v>
          </cell>
          <cell r="D7">
            <v>110.7528902249</v>
          </cell>
          <cell r="E7">
            <v>14.737</v>
          </cell>
          <cell r="F7">
            <v>5.5129999999999999</v>
          </cell>
          <cell r="G7">
            <v>57.6</v>
          </cell>
          <cell r="H7">
            <v>8.7000000000000003E-7</v>
          </cell>
          <cell r="I7">
            <v>1.7E-6</v>
          </cell>
          <cell r="J7" t="str">
            <v>p&lt;0.0001</v>
          </cell>
        </row>
        <row r="8">
          <cell r="B8">
            <v>63.344000000000001</v>
          </cell>
          <cell r="C8">
            <v>40.548764552006098</v>
          </cell>
          <cell r="D8">
            <v>86.140197086469001</v>
          </cell>
          <cell r="E8">
            <v>10.831</v>
          </cell>
          <cell r="F8">
            <v>5.8490000000000002</v>
          </cell>
          <cell r="G8">
            <v>17.55</v>
          </cell>
          <cell r="H8">
            <v>1.7E-5</v>
          </cell>
          <cell r="I8">
            <v>2.8E-5</v>
          </cell>
          <cell r="J8" t="str">
            <v>p&lt;0.0001</v>
          </cell>
        </row>
        <row r="9">
          <cell r="B9">
            <v>65.388999999999996</v>
          </cell>
          <cell r="C9">
            <v>43.096406186970398</v>
          </cell>
          <cell r="D9">
            <v>87.6806831178435</v>
          </cell>
          <cell r="E9">
            <v>10.481</v>
          </cell>
          <cell r="F9">
            <v>6.2389999999999999</v>
          </cell>
          <cell r="G9">
            <v>15.37</v>
          </cell>
          <cell r="H9">
            <v>1.4E-5</v>
          </cell>
          <cell r="I9">
            <v>2.5999999999999998E-5</v>
          </cell>
          <cell r="J9" t="str">
            <v>p&lt;0.0001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0.77329835004832403</v>
          </cell>
        </row>
        <row r="3">
          <cell r="B3">
            <v>7.2121393405386897E-2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B2">
            <v>268.214</v>
          </cell>
          <cell r="C2">
            <v>187.77360112485999</v>
          </cell>
          <cell r="D2">
            <v>348.655341966148</v>
          </cell>
          <cell r="E2">
            <v>30.707999999999998</v>
          </cell>
          <cell r="F2">
            <v>8.734</v>
          </cell>
          <cell r="G2">
            <v>4.71</v>
          </cell>
          <cell r="H2">
            <v>4.4000000000000002E-4</v>
          </cell>
          <cell r="I2">
            <v>5.1999999999999995E-4</v>
          </cell>
          <cell r="J2" t="str">
            <v>p&lt;0.001</v>
          </cell>
        </row>
        <row r="3">
          <cell r="B3">
            <v>267.76299999999998</v>
          </cell>
          <cell r="C3">
            <v>187.32325202228199</v>
          </cell>
          <cell r="D3">
            <v>348.20302685774101</v>
          </cell>
          <cell r="E3">
            <v>30.709</v>
          </cell>
          <cell r="F3">
            <v>8.7189999999999994</v>
          </cell>
          <cell r="G3">
            <v>4.71</v>
          </cell>
          <cell r="H3">
            <v>4.4000000000000002E-4</v>
          </cell>
          <cell r="I3">
            <v>5.1999999999999995E-4</v>
          </cell>
          <cell r="J3" t="str">
            <v>p&lt;0.001</v>
          </cell>
        </row>
        <row r="4">
          <cell r="B4">
            <v>268.13499999999999</v>
          </cell>
          <cell r="C4">
            <v>187.71463745543801</v>
          </cell>
          <cell r="D4">
            <v>348.55535531186501</v>
          </cell>
          <cell r="E4">
            <v>30.734999999999999</v>
          </cell>
          <cell r="F4">
            <v>8.7240000000000002</v>
          </cell>
          <cell r="G4">
            <v>4.72</v>
          </cell>
          <cell r="H4">
            <v>4.4000000000000002E-4</v>
          </cell>
          <cell r="I4">
            <v>5.1999999999999995E-4</v>
          </cell>
          <cell r="J4" t="str">
            <v>p&lt;0.001</v>
          </cell>
        </row>
        <row r="5">
          <cell r="B5">
            <v>252.32</v>
          </cell>
          <cell r="C5">
            <v>171.946315419135</v>
          </cell>
          <cell r="D5">
            <v>332.69422810108699</v>
          </cell>
          <cell r="E5">
            <v>30.795000000000002</v>
          </cell>
          <cell r="F5">
            <v>8.1940000000000008</v>
          </cell>
          <cell r="G5">
            <v>4.76</v>
          </cell>
          <cell r="H5">
            <v>5.5999999999999995E-4</v>
          </cell>
          <cell r="I5">
            <v>6.4000000000000005E-4</v>
          </cell>
          <cell r="J5" t="str">
            <v>p&lt;0.001</v>
          </cell>
        </row>
        <row r="6">
          <cell r="B6">
            <v>268.214</v>
          </cell>
          <cell r="C6">
            <v>187.77360112485999</v>
          </cell>
          <cell r="D6">
            <v>348.655341966148</v>
          </cell>
          <cell r="E6">
            <v>30.707999999999998</v>
          </cell>
          <cell r="F6">
            <v>8.734</v>
          </cell>
          <cell r="G6">
            <v>4.71</v>
          </cell>
          <cell r="H6">
            <v>4.4000000000000002E-4</v>
          </cell>
          <cell r="I6">
            <v>5.1999999999999995E-4</v>
          </cell>
          <cell r="J6" t="str">
            <v>p&lt;0.001</v>
          </cell>
        </row>
        <row r="7">
          <cell r="B7">
            <v>218.333</v>
          </cell>
          <cell r="C7">
            <v>137.65678545155001</v>
          </cell>
          <cell r="D7">
            <v>299.00823125467798</v>
          </cell>
          <cell r="E7">
            <v>34.774000000000001</v>
          </cell>
          <cell r="F7">
            <v>6.2789999999999999</v>
          </cell>
          <cell r="G7">
            <v>7.73</v>
          </cell>
          <cell r="H7">
            <v>2.7E-4</v>
          </cell>
          <cell r="I7">
            <v>3.8999999999999999E-4</v>
          </cell>
          <cell r="J7" t="str">
            <v>p&lt;0.001</v>
          </cell>
        </row>
        <row r="8">
          <cell r="B8">
            <v>267.35399999999998</v>
          </cell>
          <cell r="C8">
            <v>187.31944529171901</v>
          </cell>
          <cell r="D8">
            <v>347.38760276514603</v>
          </cell>
          <cell r="E8">
            <v>31.405000000000001</v>
          </cell>
          <cell r="F8">
            <v>8.5129999999999999</v>
          </cell>
          <cell r="G8">
            <v>5.15</v>
          </cell>
          <cell r="H8">
            <v>3.2000000000000003E-4</v>
          </cell>
          <cell r="I8">
            <v>4.6000000000000001E-4</v>
          </cell>
          <cell r="J8" t="str">
            <v>p&lt;0.001</v>
          </cell>
        </row>
        <row r="9">
          <cell r="B9">
            <v>267.60899999999998</v>
          </cell>
          <cell r="C9">
            <v>187.45073539710501</v>
          </cell>
          <cell r="D9">
            <v>347.76631975450999</v>
          </cell>
          <cell r="E9">
            <v>31.145</v>
          </cell>
          <cell r="F9">
            <v>8.5920000000000005</v>
          </cell>
          <cell r="G9">
            <v>4.9800000000000004</v>
          </cell>
          <cell r="H9">
            <v>3.6000000000000002E-4</v>
          </cell>
          <cell r="I9">
            <v>5.0000000000000001E-4</v>
          </cell>
          <cell r="J9" t="str">
            <v>p&lt;0.001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r2"/>
    </sheetNames>
    <sheetDataSet>
      <sheetData sheetId="0">
        <row r="2">
          <cell r="B2">
            <v>0.87755115375023396</v>
          </cell>
        </row>
        <row r="3">
          <cell r="B3">
            <v>9.5347789908128699E-2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0.85479648531734098</v>
          </cell>
        </row>
        <row r="3">
          <cell r="B3">
            <v>2.16840471179113E-2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2">
          <cell r="C2">
            <v>8.5999999999999993E-2</v>
          </cell>
          <cell r="D2">
            <v>-0.17687652601089701</v>
          </cell>
          <cell r="E2">
            <v>0.348471817940809</v>
          </cell>
          <cell r="F2">
            <v>0.13400000000000001</v>
          </cell>
          <cell r="G2">
            <v>0.64100000000000001</v>
          </cell>
          <cell r="H2">
            <v>598.97</v>
          </cell>
          <cell r="I2">
            <v>0.52100000000000002</v>
          </cell>
          <cell r="J2">
            <v>0.61699999999999999</v>
          </cell>
        </row>
        <row r="3">
          <cell r="C3">
            <v>1.1879999999999999</v>
          </cell>
          <cell r="D3">
            <v>0.89789380261555396</v>
          </cell>
          <cell r="E3">
            <v>1.4777286068392399</v>
          </cell>
          <cell r="F3">
            <v>0.14799999999999999</v>
          </cell>
          <cell r="G3">
            <v>8.0459999999999994</v>
          </cell>
          <cell r="H3">
            <v>599.01</v>
          </cell>
          <cell r="I3">
            <v>4.5999999999999998E-15</v>
          </cell>
          <cell r="J3">
            <v>3.2000000000000002E-14</v>
          </cell>
          <cell r="K3" t="str">
            <v>p&lt;0.0001</v>
          </cell>
        </row>
        <row r="4">
          <cell r="C4">
            <v>1.042</v>
          </cell>
          <cell r="D4">
            <v>0.63743718426227003</v>
          </cell>
          <cell r="E4">
            <v>1.4461521942798901</v>
          </cell>
          <cell r="F4">
            <v>0.20599999999999999</v>
          </cell>
          <cell r="G4">
            <v>5.0599999999999996</v>
          </cell>
          <cell r="H4">
            <v>600.46</v>
          </cell>
          <cell r="I4">
            <v>5.6000000000000004E-7</v>
          </cell>
          <cell r="J4">
            <v>1.9E-6</v>
          </cell>
          <cell r="K4" t="str">
            <v>p&lt;0.0001</v>
          </cell>
        </row>
        <row r="5">
          <cell r="C5">
            <v>1.1020000000000001</v>
          </cell>
          <cell r="D5">
            <v>0.81076147454720304</v>
          </cell>
          <cell r="E5">
            <v>1.3932656436680999</v>
          </cell>
          <cell r="F5">
            <v>0.14799999999999999</v>
          </cell>
          <cell r="G5">
            <v>7.431</v>
          </cell>
          <cell r="H5">
            <v>599.04</v>
          </cell>
          <cell r="I5">
            <v>3.6999999999999999E-13</v>
          </cell>
          <cell r="J5">
            <v>2E-12</v>
          </cell>
          <cell r="K5" t="str">
            <v>p&lt;0.0001</v>
          </cell>
        </row>
        <row r="6">
          <cell r="C6">
            <v>0.95599999999999996</v>
          </cell>
          <cell r="D6">
            <v>0.54997486140528795</v>
          </cell>
          <cell r="E6">
            <v>1.36201922907551</v>
          </cell>
          <cell r="F6">
            <v>0.20699999999999999</v>
          </cell>
          <cell r="G6">
            <v>4.6239999999999997</v>
          </cell>
          <cell r="H6">
            <v>600.49</v>
          </cell>
          <cell r="I6">
            <v>4.6E-6</v>
          </cell>
          <cell r="J6">
            <v>1.5E-5</v>
          </cell>
          <cell r="K6" t="str">
            <v>p&lt;0.0001</v>
          </cell>
        </row>
        <row r="7">
          <cell r="C7">
            <v>-0.14599999999999999</v>
          </cell>
          <cell r="D7">
            <v>-0.56249167780578202</v>
          </cell>
          <cell r="E7">
            <v>0.270458625601048</v>
          </cell>
          <cell r="F7">
            <v>0.21199999999999999</v>
          </cell>
          <cell r="G7">
            <v>-0.68899999999999995</v>
          </cell>
          <cell r="H7">
            <v>600.35</v>
          </cell>
          <cell r="I7">
            <v>0.49099999999999999</v>
          </cell>
          <cell r="J7">
            <v>0.58899999999999997</v>
          </cell>
        </row>
        <row r="8">
          <cell r="C8">
            <v>2.88</v>
          </cell>
          <cell r="D8">
            <v>1.4143519263022799</v>
          </cell>
          <cell r="E8">
            <v>4.3456949573352404</v>
          </cell>
          <cell r="F8">
            <v>0.746</v>
          </cell>
          <cell r="G8">
            <v>3.859</v>
          </cell>
          <cell r="H8">
            <v>600</v>
          </cell>
          <cell r="I8">
            <v>1.2999999999999999E-4</v>
          </cell>
          <cell r="J8">
            <v>3.8999999999999999E-4</v>
          </cell>
          <cell r="K8" t="str">
            <v>p&lt;0.001</v>
          </cell>
        </row>
        <row r="9">
          <cell r="C9">
            <v>0.71599999999999997</v>
          </cell>
          <cell r="D9">
            <v>0.109810559163631</v>
          </cell>
          <cell r="E9">
            <v>1.3228377311159101</v>
          </cell>
          <cell r="F9">
            <v>0.309</v>
          </cell>
          <cell r="G9">
            <v>2.3199999999999998</v>
          </cell>
          <cell r="H9">
            <v>599.23</v>
          </cell>
          <cell r="I9">
            <v>2.1000000000000001E-2</v>
          </cell>
          <cell r="J9">
            <v>3.5000000000000003E-2</v>
          </cell>
          <cell r="K9" t="str">
            <v>p&lt;0.05</v>
          </cell>
        </row>
        <row r="10">
          <cell r="C10">
            <v>2.7330000000000001</v>
          </cell>
          <cell r="D10">
            <v>2.2651751197030698</v>
          </cell>
          <cell r="E10">
            <v>3.20129385599936</v>
          </cell>
          <cell r="F10">
            <v>0.23799999999999999</v>
          </cell>
          <cell r="G10">
            <v>11.468</v>
          </cell>
          <cell r="H10">
            <v>599.17999999999995</v>
          </cell>
          <cell r="I10">
            <v>1.2E-27</v>
          </cell>
          <cell r="J10">
            <v>1.9000000000000001E-26</v>
          </cell>
          <cell r="K10" t="str">
            <v>p&lt;0.0001</v>
          </cell>
        </row>
        <row r="11">
          <cell r="C11">
            <v>-2.1640000000000001</v>
          </cell>
          <cell r="D11">
            <v>-3.6806370499734702</v>
          </cell>
          <cell r="E11">
            <v>-0.64676155498061305</v>
          </cell>
          <cell r="F11">
            <v>0.77200000000000002</v>
          </cell>
          <cell r="G11">
            <v>-2.8010000000000002</v>
          </cell>
          <cell r="H11">
            <v>600.20000000000005</v>
          </cell>
          <cell r="I11">
            <v>5.0000000000000001E-3</v>
          </cell>
          <cell r="J11">
            <v>8.9999999999999993E-3</v>
          </cell>
          <cell r="K11" t="str">
            <v>p&lt;0.01</v>
          </cell>
        </row>
        <row r="12">
          <cell r="C12">
            <v>-0.14699999999999999</v>
          </cell>
          <cell r="D12">
            <v>-1.5892615115800499</v>
          </cell>
          <cell r="E12">
            <v>1.2956835949843299</v>
          </cell>
          <cell r="F12">
            <v>0.73399999999999999</v>
          </cell>
          <cell r="G12">
            <v>-0.2</v>
          </cell>
          <cell r="H12">
            <v>599.91</v>
          </cell>
          <cell r="I12">
            <v>0.84199999999999997</v>
          </cell>
          <cell r="J12">
            <v>0.92900000000000005</v>
          </cell>
        </row>
        <row r="13">
          <cell r="C13">
            <v>2.0169999999999999</v>
          </cell>
          <cell r="D13">
            <v>1.43143752895072</v>
          </cell>
          <cell r="E13">
            <v>2.6023831583079602</v>
          </cell>
          <cell r="F13">
            <v>0.29799999999999999</v>
          </cell>
          <cell r="G13">
            <v>6.766</v>
          </cell>
          <cell r="H13">
            <v>599.44000000000005</v>
          </cell>
          <cell r="I13">
            <v>3.1999999999999999E-11</v>
          </cell>
          <cell r="J13">
            <v>1.5E-10</v>
          </cell>
          <cell r="K13" t="str">
            <v>p&lt;0.0001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0.41699999999999998</v>
          </cell>
          <cell r="D2">
            <v>3.2769822586865102E-2</v>
          </cell>
          <cell r="E2">
            <v>0.80218190938980705</v>
          </cell>
          <cell r="F2">
            <v>0.19600000000000001</v>
          </cell>
          <cell r="G2">
            <v>2.1309999999999998</v>
          </cell>
          <cell r="H2">
            <v>609.98</v>
          </cell>
          <cell r="I2">
            <v>3.3000000000000002E-2</v>
          </cell>
          <cell r="J2">
            <v>5.3999999999999999E-2</v>
          </cell>
        </row>
        <row r="3">
          <cell r="C3">
            <v>1.129</v>
          </cell>
          <cell r="D3">
            <v>0.70325590719008901</v>
          </cell>
          <cell r="E3">
            <v>1.55518639476166</v>
          </cell>
          <cell r="F3">
            <v>0.217</v>
          </cell>
          <cell r="G3">
            <v>5.2060000000000004</v>
          </cell>
          <cell r="H3">
            <v>610.05999999999995</v>
          </cell>
          <cell r="I3">
            <v>2.6E-7</v>
          </cell>
          <cell r="J3">
            <v>9.9999999999999995E-7</v>
          </cell>
          <cell r="K3" t="str">
            <v>p&lt;0.0001</v>
          </cell>
        </row>
        <row r="4">
          <cell r="C4">
            <v>2.2999999999999998</v>
          </cell>
          <cell r="D4">
            <v>1.72620720434814</v>
          </cell>
          <cell r="E4">
            <v>2.8737714854497298</v>
          </cell>
          <cell r="F4">
            <v>0.29199999999999998</v>
          </cell>
          <cell r="G4">
            <v>7.8719999999999999</v>
          </cell>
          <cell r="H4">
            <v>611.79999999999995</v>
          </cell>
          <cell r="I4">
            <v>1.6000000000000001E-14</v>
          </cell>
          <cell r="J4">
            <v>1E-13</v>
          </cell>
          <cell r="K4" t="str">
            <v>p&lt;0.0001</v>
          </cell>
        </row>
        <row r="5">
          <cell r="C5">
            <v>0.71199999999999997</v>
          </cell>
          <cell r="D5">
            <v>0.28494370096028898</v>
          </cell>
          <cell r="E5">
            <v>1.1385468689888401</v>
          </cell>
          <cell r="F5">
            <v>0.217</v>
          </cell>
          <cell r="G5">
            <v>3.2749999999999999</v>
          </cell>
          <cell r="H5">
            <v>610.1</v>
          </cell>
          <cell r="I5">
            <v>1E-3</v>
          </cell>
          <cell r="J5">
            <v>2E-3</v>
          </cell>
          <cell r="K5" t="str">
            <v>p&lt;0.01</v>
          </cell>
        </row>
        <row r="6">
          <cell r="C6">
            <v>1.883</v>
          </cell>
          <cell r="D6">
            <v>1.30763584471529</v>
          </cell>
          <cell r="E6">
            <v>2.4573911124536898</v>
          </cell>
          <cell r="F6">
            <v>0.29299999999999998</v>
          </cell>
          <cell r="G6">
            <v>6.431</v>
          </cell>
          <cell r="H6">
            <v>611.84</v>
          </cell>
          <cell r="I6">
            <v>2.5999999999999998E-10</v>
          </cell>
          <cell r="J6">
            <v>1.0999999999999999E-9</v>
          </cell>
          <cell r="K6" t="str">
            <v>p&lt;0.0001</v>
          </cell>
        </row>
        <row r="7">
          <cell r="C7">
            <v>1.171</v>
          </cell>
          <cell r="D7">
            <v>0.57785820747160699</v>
          </cell>
          <cell r="E7">
            <v>1.7636781804817201</v>
          </cell>
          <cell r="F7">
            <v>0.30199999999999999</v>
          </cell>
          <cell r="G7">
            <v>3.8780000000000001</v>
          </cell>
          <cell r="H7">
            <v>611.64</v>
          </cell>
          <cell r="I7">
            <v>1.2E-4</v>
          </cell>
          <cell r="J7">
            <v>3.6000000000000002E-4</v>
          </cell>
          <cell r="K7" t="str">
            <v>p&lt;0.001</v>
          </cell>
        </row>
        <row r="8">
          <cell r="C8">
            <v>-0.27300000000000002</v>
          </cell>
          <cell r="D8">
            <v>-2.42285320911986</v>
          </cell>
          <cell r="E8">
            <v>1.87670209574722</v>
          </cell>
          <cell r="F8">
            <v>1.095</v>
          </cell>
          <cell r="G8">
            <v>-0.249</v>
          </cell>
          <cell r="H8">
            <v>610.98</v>
          </cell>
          <cell r="I8">
            <v>0.80300000000000005</v>
          </cell>
          <cell r="J8">
            <v>0.90700000000000003</v>
          </cell>
        </row>
        <row r="9">
          <cell r="C9">
            <v>3.577</v>
          </cell>
          <cell r="D9">
            <v>2.7248136399280498</v>
          </cell>
          <cell r="E9">
            <v>4.4287303056273402</v>
          </cell>
          <cell r="F9">
            <v>0.434</v>
          </cell>
          <cell r="G9">
            <v>8.2449999999999992</v>
          </cell>
          <cell r="H9">
            <v>610.16999999999996</v>
          </cell>
          <cell r="I9">
            <v>1.0000000000000001E-15</v>
          </cell>
          <cell r="J9">
            <v>7.4999999999999996E-15</v>
          </cell>
          <cell r="K9" t="str">
            <v>p&lt;0.0001</v>
          </cell>
        </row>
        <row r="10">
          <cell r="C10">
            <v>3.5680000000000001</v>
          </cell>
          <cell r="D10">
            <v>2.9027965662978201</v>
          </cell>
          <cell r="E10">
            <v>4.2336322708510199</v>
          </cell>
          <cell r="F10">
            <v>0.33900000000000002</v>
          </cell>
          <cell r="G10">
            <v>10.531000000000001</v>
          </cell>
          <cell r="H10">
            <v>610.69000000000005</v>
          </cell>
          <cell r="I10">
            <v>6.1000000000000004E-24</v>
          </cell>
          <cell r="J10">
            <v>8.2999999999999999E-23</v>
          </cell>
          <cell r="K10" t="str">
            <v>p&lt;0.0001</v>
          </cell>
        </row>
        <row r="11">
          <cell r="C11">
            <v>3.85</v>
          </cell>
          <cell r="D11">
            <v>1.62726695041575</v>
          </cell>
          <cell r="E11">
            <v>6.0724281058506397</v>
          </cell>
          <cell r="F11">
            <v>1.1319999999999999</v>
          </cell>
          <cell r="G11">
            <v>3.4020000000000001</v>
          </cell>
          <cell r="H11">
            <v>611</v>
          </cell>
          <cell r="I11">
            <v>7.1000000000000002E-4</v>
          </cell>
          <cell r="J11">
            <v>2E-3</v>
          </cell>
          <cell r="K11" t="str">
            <v>p&lt;0.01</v>
          </cell>
        </row>
        <row r="12">
          <cell r="C12">
            <v>3.8410000000000002</v>
          </cell>
          <cell r="D12">
            <v>1.7225676832151</v>
          </cell>
          <cell r="E12">
            <v>5.9600122653412102</v>
          </cell>
          <cell r="F12">
            <v>1.079</v>
          </cell>
          <cell r="G12">
            <v>3.5609999999999999</v>
          </cell>
          <cell r="H12">
            <v>610.77</v>
          </cell>
          <cell r="I12">
            <v>4.0000000000000002E-4</v>
          </cell>
          <cell r="J12">
            <v>1E-3</v>
          </cell>
          <cell r="K12" t="str">
            <v>p&lt;0.01</v>
          </cell>
        </row>
        <row r="13">
          <cell r="C13">
            <v>-8.9999999999999993E-3</v>
          </cell>
          <cell r="D13">
            <v>-0.85602073019479297</v>
          </cell>
          <cell r="E13">
            <v>0.83890562219057496</v>
          </cell>
          <cell r="F13">
            <v>0.432</v>
          </cell>
          <cell r="G13">
            <v>-0.02</v>
          </cell>
          <cell r="H13">
            <v>610.48</v>
          </cell>
          <cell r="I13">
            <v>0.98399999999999999</v>
          </cell>
          <cell r="J13">
            <v>0.98399999999999999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0.32500000000000001</v>
          </cell>
          <cell r="D2">
            <v>-3.5449395705412399</v>
          </cell>
          <cell r="E2">
            <v>4.1943195758573397</v>
          </cell>
          <cell r="F2">
            <v>1.97</v>
          </cell>
          <cell r="G2">
            <v>0.16500000000000001</v>
          </cell>
          <cell r="H2">
            <v>604.92999999999995</v>
          </cell>
          <cell r="I2">
            <v>0.86899999999999999</v>
          </cell>
          <cell r="J2">
            <v>0.93799999999999994</v>
          </cell>
        </row>
        <row r="3">
          <cell r="C3">
            <v>2.0680000000000001</v>
          </cell>
          <cell r="D3">
            <v>-2.2250529520495501</v>
          </cell>
          <cell r="E3">
            <v>6.3616380615155297</v>
          </cell>
          <cell r="F3">
            <v>2.1859999999999999</v>
          </cell>
          <cell r="G3">
            <v>0.94599999999999995</v>
          </cell>
          <cell r="H3">
            <v>605.15</v>
          </cell>
          <cell r="I3">
            <v>0.34399999999999997</v>
          </cell>
          <cell r="J3">
            <v>0.44600000000000001</v>
          </cell>
        </row>
        <row r="4">
          <cell r="C4">
            <v>-20.366</v>
          </cell>
          <cell r="D4">
            <v>-26.087701974711099</v>
          </cell>
          <cell r="E4">
            <v>-14.6448481236961</v>
          </cell>
          <cell r="F4">
            <v>2.9129999999999998</v>
          </cell>
          <cell r="G4">
            <v>-6.992</v>
          </cell>
          <cell r="H4">
            <v>569.44000000000005</v>
          </cell>
          <cell r="I4">
            <v>7.5999999999999999E-12</v>
          </cell>
          <cell r="J4">
            <v>3.5999999999999998E-11</v>
          </cell>
          <cell r="K4" t="str">
            <v>p&lt;0.0001</v>
          </cell>
        </row>
        <row r="5">
          <cell r="C5">
            <v>1.744</v>
          </cell>
          <cell r="D5">
            <v>-2.5541235585089601</v>
          </cell>
          <cell r="E5">
            <v>6.0413286631581498</v>
          </cell>
          <cell r="F5">
            <v>2.1880000000000002</v>
          </cell>
          <cell r="G5">
            <v>0.79700000000000004</v>
          </cell>
          <cell r="H5">
            <v>605.33000000000004</v>
          </cell>
          <cell r="I5">
            <v>0.42599999999999999</v>
          </cell>
          <cell r="J5">
            <v>0.53100000000000003</v>
          </cell>
        </row>
        <row r="6">
          <cell r="C6">
            <v>-20.690999999999999</v>
          </cell>
          <cell r="D6">
            <v>-26.419836528801198</v>
          </cell>
          <cell r="E6">
            <v>-14.9620935641854</v>
          </cell>
          <cell r="F6">
            <v>2.9169999999999998</v>
          </cell>
          <cell r="G6">
            <v>-7.0940000000000003</v>
          </cell>
          <cell r="H6">
            <v>568.01</v>
          </cell>
          <cell r="I6">
            <v>3.8999999999999999E-12</v>
          </cell>
          <cell r="J6">
            <v>1.9999999999999999E-11</v>
          </cell>
          <cell r="K6" t="str">
            <v>p&lt;0.0001</v>
          </cell>
        </row>
        <row r="7">
          <cell r="C7">
            <v>-22.434999999999999</v>
          </cell>
          <cell r="D7">
            <v>-28.356812442248</v>
          </cell>
          <cell r="E7">
            <v>-16.512322761843802</v>
          </cell>
          <cell r="F7">
            <v>3.0150000000000001</v>
          </cell>
          <cell r="G7">
            <v>-7.44</v>
          </cell>
          <cell r="H7">
            <v>578.39</v>
          </cell>
          <cell r="I7">
            <v>3.6999999999999999E-13</v>
          </cell>
          <cell r="J7">
            <v>2E-12</v>
          </cell>
          <cell r="K7" t="str">
            <v>p&lt;0.0001</v>
          </cell>
        </row>
        <row r="8">
          <cell r="C8">
            <v>13.842000000000001</v>
          </cell>
          <cell r="D8">
            <v>-7.7286761016436296</v>
          </cell>
          <cell r="E8">
            <v>35.411761488235797</v>
          </cell>
          <cell r="F8">
            <v>10.983000000000001</v>
          </cell>
          <cell r="G8">
            <v>1.26</v>
          </cell>
          <cell r="H8">
            <v>606.73</v>
          </cell>
          <cell r="I8">
            <v>0.20799999999999999</v>
          </cell>
          <cell r="J8">
            <v>0.28100000000000003</v>
          </cell>
        </row>
        <row r="9">
          <cell r="C9">
            <v>-4.0629999999999997</v>
          </cell>
          <cell r="D9">
            <v>-12.6427494005663</v>
          </cell>
          <cell r="E9">
            <v>4.5162345382764499</v>
          </cell>
          <cell r="F9">
            <v>4.3689999999999998</v>
          </cell>
          <cell r="G9">
            <v>-0.93</v>
          </cell>
          <cell r="H9">
            <v>607.47</v>
          </cell>
          <cell r="I9">
            <v>0.35299999999999998</v>
          </cell>
          <cell r="J9">
            <v>0.45200000000000001</v>
          </cell>
        </row>
        <row r="10">
          <cell r="C10">
            <v>-2.0190000000000001</v>
          </cell>
          <cell r="D10">
            <v>-8.6991730733742596</v>
          </cell>
          <cell r="E10">
            <v>4.6607931810943404</v>
          </cell>
          <cell r="F10">
            <v>3.4009999999999998</v>
          </cell>
          <cell r="G10">
            <v>-0.59399999999999997</v>
          </cell>
          <cell r="H10">
            <v>608.59</v>
          </cell>
          <cell r="I10">
            <v>0.55300000000000005</v>
          </cell>
          <cell r="J10">
            <v>0.64700000000000002</v>
          </cell>
        </row>
        <row r="11">
          <cell r="C11">
            <v>-17.905000000000001</v>
          </cell>
          <cell r="D11">
            <v>-40.173241334541203</v>
          </cell>
          <cell r="E11">
            <v>4.3636491167081601</v>
          </cell>
          <cell r="F11">
            <v>11.339</v>
          </cell>
          <cell r="G11">
            <v>-1.579</v>
          </cell>
          <cell r="H11">
            <v>605.26</v>
          </cell>
          <cell r="I11">
            <v>0.115</v>
          </cell>
          <cell r="J11">
            <v>0.17</v>
          </cell>
        </row>
        <row r="12">
          <cell r="C12">
            <v>-15.861000000000001</v>
          </cell>
          <cell r="D12">
            <v>-37.137151826048502</v>
          </cell>
          <cell r="E12">
            <v>5.41569007626219</v>
          </cell>
          <cell r="F12">
            <v>10.834</v>
          </cell>
          <cell r="G12">
            <v>-1.464</v>
          </cell>
          <cell r="H12">
            <v>608.38</v>
          </cell>
          <cell r="I12">
            <v>0.14399999999999999</v>
          </cell>
          <cell r="J12">
            <v>0.20599999999999999</v>
          </cell>
        </row>
        <row r="13">
          <cell r="C13">
            <v>2.044</v>
          </cell>
          <cell r="D13">
            <v>-6.4797959443461899</v>
          </cell>
          <cell r="E13">
            <v>10.5679236230505</v>
          </cell>
          <cell r="F13">
            <v>4.34</v>
          </cell>
          <cell r="G13">
            <v>0.47099999999999997</v>
          </cell>
          <cell r="H13">
            <v>609.01</v>
          </cell>
          <cell r="I13">
            <v>0.63800000000000001</v>
          </cell>
          <cell r="J13">
            <v>0.72899999999999998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2">
          <cell r="C2">
            <v>-0.45100000000000001</v>
          </cell>
          <cell r="D2">
            <v>-6.1920653229988698</v>
          </cell>
          <cell r="E2">
            <v>5.2894011087549098</v>
          </cell>
          <cell r="F2">
            <v>2.923</v>
          </cell>
          <cell r="G2">
            <v>-0.154</v>
          </cell>
          <cell r="H2">
            <v>608.04</v>
          </cell>
          <cell r="I2">
            <v>0.877</v>
          </cell>
          <cell r="J2">
            <v>0.93799999999999994</v>
          </cell>
        </row>
        <row r="3">
          <cell r="C3">
            <v>-7.9000000000000001E-2</v>
          </cell>
          <cell r="D3">
            <v>-6.4355930497881104</v>
          </cell>
          <cell r="E3">
            <v>6.2766427277463697</v>
          </cell>
          <cell r="F3">
            <v>3.2370000000000001</v>
          </cell>
          <cell r="G3">
            <v>-2.5000000000000001E-2</v>
          </cell>
          <cell r="H3">
            <v>608.29</v>
          </cell>
          <cell r="I3">
            <v>0.98</v>
          </cell>
          <cell r="J3">
            <v>0.98399999999999999</v>
          </cell>
        </row>
        <row r="4">
          <cell r="C4">
            <v>-15.894</v>
          </cell>
          <cell r="D4">
            <v>-24.4634504601336</v>
          </cell>
          <cell r="E4">
            <v>-7.3249491108301799</v>
          </cell>
          <cell r="F4">
            <v>4.3630000000000004</v>
          </cell>
          <cell r="G4">
            <v>-3.6429999999999998</v>
          </cell>
          <cell r="H4">
            <v>610.35</v>
          </cell>
          <cell r="I4">
            <v>2.9E-4</v>
          </cell>
          <cell r="J4">
            <v>8.0000000000000004E-4</v>
          </cell>
          <cell r="K4" t="str">
            <v>p&lt;0.001</v>
          </cell>
        </row>
        <row r="5">
          <cell r="C5">
            <v>0.372</v>
          </cell>
          <cell r="D5">
            <v>-5.99640455897738</v>
          </cell>
          <cell r="E5">
            <v>6.7401184461608503</v>
          </cell>
          <cell r="F5">
            <v>3.2429999999999999</v>
          </cell>
          <cell r="G5">
            <v>0.115</v>
          </cell>
          <cell r="H5">
            <v>608.4</v>
          </cell>
          <cell r="I5">
            <v>0.90900000000000003</v>
          </cell>
          <cell r="J5">
            <v>0.93799999999999994</v>
          </cell>
        </row>
        <row r="6">
          <cell r="C6">
            <v>-15.443</v>
          </cell>
          <cell r="D6">
            <v>-24.026925119708402</v>
          </cell>
          <cell r="E6">
            <v>-6.8588102465743397</v>
          </cell>
          <cell r="F6">
            <v>4.3710000000000004</v>
          </cell>
          <cell r="G6">
            <v>-3.5329999999999999</v>
          </cell>
          <cell r="H6">
            <v>610.44000000000005</v>
          </cell>
          <cell r="I6">
            <v>4.4000000000000002E-4</v>
          </cell>
          <cell r="J6">
            <v>1E-3</v>
          </cell>
          <cell r="K6" t="str">
            <v>p&lt;0.01</v>
          </cell>
        </row>
        <row r="7">
          <cell r="C7">
            <v>-15.815</v>
          </cell>
          <cell r="D7">
            <v>-24.6670214009829</v>
          </cell>
          <cell r="E7">
            <v>-6.96242784827054</v>
          </cell>
          <cell r="F7">
            <v>4.508</v>
          </cell>
          <cell r="G7">
            <v>-3.508</v>
          </cell>
          <cell r="H7">
            <v>610.03</v>
          </cell>
          <cell r="I7">
            <v>4.8000000000000001E-4</v>
          </cell>
          <cell r="J7">
            <v>1E-3</v>
          </cell>
          <cell r="K7" t="str">
            <v>p&lt;0.01</v>
          </cell>
        </row>
        <row r="8">
          <cell r="C8">
            <v>-49.881999999999998</v>
          </cell>
          <cell r="D8">
            <v>-82.044816438502707</v>
          </cell>
          <cell r="E8">
            <v>-17.7191099339265</v>
          </cell>
          <cell r="F8">
            <v>16.376999999999999</v>
          </cell>
          <cell r="G8">
            <v>-3.0459999999999998</v>
          </cell>
          <cell r="H8">
            <v>609.57000000000005</v>
          </cell>
          <cell r="I8">
            <v>2E-3</v>
          </cell>
          <cell r="J8">
            <v>4.0000000000000001E-3</v>
          </cell>
          <cell r="K8" t="str">
            <v>p&lt;0.01</v>
          </cell>
        </row>
        <row r="9">
          <cell r="C9">
            <v>-0.86099999999999999</v>
          </cell>
          <cell r="D9">
            <v>-13.6202478931702</v>
          </cell>
          <cell r="E9">
            <v>11.8983528620118</v>
          </cell>
          <cell r="F9">
            <v>6.4969999999999999</v>
          </cell>
          <cell r="G9">
            <v>-0.13300000000000001</v>
          </cell>
          <cell r="H9">
            <v>608.66999999999996</v>
          </cell>
          <cell r="I9">
            <v>0.89500000000000002</v>
          </cell>
          <cell r="J9">
            <v>0.93799999999999994</v>
          </cell>
        </row>
        <row r="10">
          <cell r="C10">
            <v>-0.60599999999999998</v>
          </cell>
          <cell r="D10">
            <v>-10.544624522024501</v>
          </cell>
          <cell r="E10">
            <v>9.3327365828932507</v>
          </cell>
          <cell r="F10">
            <v>5.0609999999999999</v>
          </cell>
          <cell r="G10">
            <v>-0.12</v>
          </cell>
          <cell r="H10">
            <v>609.58000000000004</v>
          </cell>
          <cell r="I10">
            <v>0.90500000000000003</v>
          </cell>
          <cell r="J10">
            <v>0.93799999999999994</v>
          </cell>
        </row>
        <row r="11">
          <cell r="C11">
            <v>49.021000000000001</v>
          </cell>
          <cell r="D11">
            <v>15.837034689771899</v>
          </cell>
          <cell r="E11">
            <v>82.204996663470496</v>
          </cell>
          <cell r="F11">
            <v>16.896999999999998</v>
          </cell>
          <cell r="G11">
            <v>2.9009999999999998</v>
          </cell>
          <cell r="H11">
            <v>609.64</v>
          </cell>
          <cell r="I11">
            <v>4.0000000000000001E-3</v>
          </cell>
          <cell r="J11">
            <v>7.0000000000000001E-3</v>
          </cell>
          <cell r="K11" t="str">
            <v>p&lt;0.01</v>
          </cell>
        </row>
        <row r="12">
          <cell r="C12">
            <v>49.276000000000003</v>
          </cell>
          <cell r="D12">
            <v>17.576636459691901</v>
          </cell>
          <cell r="E12">
            <v>80.975401982322097</v>
          </cell>
          <cell r="F12">
            <v>16.140999999999998</v>
          </cell>
          <cell r="G12">
            <v>3.0529999999999999</v>
          </cell>
          <cell r="H12">
            <v>609.27</v>
          </cell>
          <cell r="I12">
            <v>2E-3</v>
          </cell>
          <cell r="J12">
            <v>4.0000000000000001E-3</v>
          </cell>
          <cell r="K12" t="str">
            <v>p&lt;0.01</v>
          </cell>
        </row>
        <row r="13">
          <cell r="C13">
            <v>0.255</v>
          </cell>
          <cell r="D13">
            <v>-12.4304474503218</v>
          </cell>
          <cell r="E13">
            <v>12.940454542958699</v>
          </cell>
          <cell r="F13">
            <v>6.4589999999999996</v>
          </cell>
          <cell r="G13">
            <v>3.9E-2</v>
          </cell>
          <cell r="H13">
            <v>609.22</v>
          </cell>
          <cell r="I13">
            <v>0.96899999999999997</v>
          </cell>
          <cell r="J13">
            <v>0.98399999999999999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J1" t="str">
            <v>signif.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r2"/>
    </sheetNames>
    <sheetDataSet>
      <sheetData sheetId="0">
        <row r="2">
          <cell r="B2">
            <v>0.95251205799762395</v>
          </cell>
        </row>
        <row r="3">
          <cell r="B3">
            <v>2.6630692365991401E-2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J1" t="str">
            <v>signif.</v>
          </cell>
        </row>
        <row r="2">
          <cell r="B2">
            <v>-0.42399999999999999</v>
          </cell>
          <cell r="C2">
            <v>-2.0388500774625702</v>
          </cell>
          <cell r="D2">
            <v>1.19087341407404</v>
          </cell>
          <cell r="E2">
            <v>0.73699999999999999</v>
          </cell>
          <cell r="F2">
            <v>-0.57499999999999996</v>
          </cell>
          <cell r="G2">
            <v>11.46</v>
          </cell>
          <cell r="H2">
            <v>0.57599999999999996</v>
          </cell>
        </row>
        <row r="3">
          <cell r="B3">
            <v>-2.8490000000000002</v>
          </cell>
          <cell r="C3">
            <v>-4.8371292842892704</v>
          </cell>
          <cell r="D3">
            <v>-0.86092869874570399</v>
          </cell>
          <cell r="E3">
            <v>0.90500000000000003</v>
          </cell>
          <cell r="F3">
            <v>-3.149</v>
          </cell>
          <cell r="G3">
            <v>11.15</v>
          </cell>
          <cell r="H3">
            <v>8.9999999999999993E-3</v>
          </cell>
        </row>
        <row r="4">
          <cell r="B4">
            <v>3.1259999999999999</v>
          </cell>
          <cell r="C4">
            <v>1.5929891966334999</v>
          </cell>
          <cell r="D4">
            <v>4.6583189993808896</v>
          </cell>
          <cell r="E4">
            <v>0.7</v>
          </cell>
          <cell r="F4">
            <v>4.4630000000000001</v>
          </cell>
          <cell r="G4">
            <v>11.55</v>
          </cell>
          <cell r="H4">
            <v>8.4999999999999995E-4</v>
          </cell>
        </row>
        <row r="5">
          <cell r="B5">
            <v>6.19</v>
          </cell>
          <cell r="C5">
            <v>3.7877391950621901</v>
          </cell>
          <cell r="D5">
            <v>8.5923685128481093</v>
          </cell>
          <cell r="E5">
            <v>1.0900000000000001</v>
          </cell>
          <cell r="F5">
            <v>5.6779999999999999</v>
          </cell>
          <cell r="G5">
            <v>10.9</v>
          </cell>
          <cell r="H5">
            <v>1.4999999999999999E-4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r2"/>
    </sheetNames>
    <sheetDataSet>
      <sheetData sheetId="0">
        <row r="2">
          <cell r="B2">
            <v>0.82651743401007005</v>
          </cell>
        </row>
        <row r="3">
          <cell r="B3">
            <v>0.50064598788705905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J1" t="str">
            <v>signif.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r2"/>
    </sheetNames>
    <sheetDataSet>
      <sheetData sheetId="0">
        <row r="2">
          <cell r="B2">
            <v>0.77487713461109398</v>
          </cell>
        </row>
        <row r="3">
          <cell r="B3">
            <v>5.4608297896494802E-2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r2"/>
    </sheetNames>
    <sheetDataSet>
      <sheetData sheetId="0">
        <row r="2">
          <cell r="B2">
            <v>0.95092036274743896</v>
          </cell>
        </row>
        <row r="3">
          <cell r="B3">
            <v>1.8544092869285801E-2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J1" t="str">
            <v>signif.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r2"/>
    </sheetNames>
    <sheetDataSet>
      <sheetData sheetId="0">
        <row r="2">
          <cell r="B2">
            <v>0.90924598576144</v>
          </cell>
        </row>
        <row r="3">
          <cell r="B3">
            <v>0.21507796859329401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1"/>
    </sheetNames>
    <sheetDataSet>
      <sheetData sheetId="0">
        <row r="1">
          <cell r="A1" t="str">
            <v>intercept</v>
          </cell>
          <cell r="B1" t="str">
            <v>slope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K1" t="str">
            <v>signif.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1"/>
    </sheetNames>
    <sheetDataSet>
      <sheetData sheetId="0" refreshError="1">
        <row r="1">
          <cell r="A1" t="str">
            <v>intercept</v>
          </cell>
          <cell r="B1" t="str">
            <v>slope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mode_only_b0"/>
    </sheetNames>
    <sheetDataSet>
      <sheetData sheetId="0">
        <row r="2">
          <cell r="B2">
            <v>-0.52353979027253095</v>
          </cell>
          <cell r="C2">
            <v>-0.875233769253009</v>
          </cell>
          <cell r="D2">
            <v>-0.17184581129205301</v>
          </cell>
          <cell r="E2">
            <v>0.15901510122401699</v>
          </cell>
          <cell r="F2">
            <v>-3.29239038457724</v>
          </cell>
          <cell r="G2">
            <v>10.579647998862701</v>
          </cell>
          <cell r="H2">
            <v>7.5423206454383798E-3</v>
          </cell>
        </row>
        <row r="3">
          <cell r="B3">
            <v>-4.9753135106339497E-2</v>
          </cell>
          <cell r="C3">
            <v>-0.67034954012477899</v>
          </cell>
          <cell r="D3">
            <v>0.57084326991209899</v>
          </cell>
          <cell r="E3">
            <v>0.28243441864628599</v>
          </cell>
          <cell r="F3">
            <v>-0.176158186898067</v>
          </cell>
          <cell r="G3">
            <v>11.152805969689201</v>
          </cell>
          <cell r="H3">
            <v>0.86332763449388095</v>
          </cell>
        </row>
        <row r="4">
          <cell r="B4">
            <v>0.23743757336004501</v>
          </cell>
          <cell r="C4">
            <v>-0.14802119447717799</v>
          </cell>
          <cell r="D4">
            <v>0.622896341197268</v>
          </cell>
          <cell r="E4">
            <v>0.17707019232993801</v>
          </cell>
          <cell r="F4">
            <v>1.3409234509534</v>
          </cell>
          <cell r="G4">
            <v>12.097346266187699</v>
          </cell>
          <cell r="H4">
            <v>0.20458079354737199</v>
          </cell>
        </row>
        <row r="5">
          <cell r="B5">
            <v>1.67378616080225</v>
          </cell>
          <cell r="C5">
            <v>0.70534574293183705</v>
          </cell>
          <cell r="D5">
            <v>2.6422265786726702</v>
          </cell>
          <cell r="E5">
            <v>0.43732359179105101</v>
          </cell>
          <cell r="F5">
            <v>3.8273401943565202</v>
          </cell>
          <cell r="G5">
            <v>10.476764087094701</v>
          </cell>
          <cell r="H5">
            <v>3.0637351248745102E-3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0"/>
    </sheetNames>
    <sheetDataSet>
      <sheetData sheetId="0">
        <row r="2">
          <cell r="B2">
            <v>-0.418601741744975</v>
          </cell>
          <cell r="C2">
            <v>-1.3644474034801</v>
          </cell>
          <cell r="D2">
            <v>0.52724391999015496</v>
          </cell>
          <cell r="E2">
            <v>0.38315049648949201</v>
          </cell>
          <cell r="F2">
            <v>-1.0925256409173201</v>
          </cell>
          <cell r="G2">
            <v>5.78986624509675</v>
          </cell>
          <cell r="H2">
            <v>0.31796293588739999</v>
          </cell>
        </row>
        <row r="3">
          <cell r="B3">
            <v>5.4921727840636599E-2</v>
          </cell>
          <cell r="C3">
            <v>-0.97709824775802601</v>
          </cell>
          <cell r="D3">
            <v>1.0869417034393001</v>
          </cell>
          <cell r="E3">
            <v>0.46387963357941697</v>
          </cell>
          <cell r="F3">
            <v>0.118396506043704</v>
          </cell>
          <cell r="G3">
            <v>10.1133616182985</v>
          </cell>
          <cell r="H3">
            <v>0.90807212439538498</v>
          </cell>
        </row>
        <row r="4">
          <cell r="B4">
            <v>0.15244365963015299</v>
          </cell>
          <cell r="C4">
            <v>-0.80115317426675803</v>
          </cell>
          <cell r="D4">
            <v>1.10604049352706</v>
          </cell>
          <cell r="E4">
            <v>0.38224974249189803</v>
          </cell>
          <cell r="F4">
            <v>0.39880644166394602</v>
          </cell>
          <cell r="G4">
            <v>5.5594156434446003</v>
          </cell>
          <cell r="H4">
            <v>0.70489872922498298</v>
          </cell>
        </row>
        <row r="5">
          <cell r="B5">
            <v>1.44073013611451</v>
          </cell>
          <cell r="C5">
            <v>0.27513666162394901</v>
          </cell>
          <cell r="D5">
            <v>2.60632361060508</v>
          </cell>
          <cell r="E5">
            <v>0.54159215100311098</v>
          </cell>
          <cell r="F5">
            <v>2.6601754354195601</v>
          </cell>
          <cell r="G5">
            <v>13.5065727924218</v>
          </cell>
          <cell r="H5">
            <v>1.91148103277935E-2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0"/>
    </sheetNames>
    <sheetDataSet>
      <sheetData sheetId="0">
        <row r="2">
          <cell r="B2">
            <v>-3.4714019405885499</v>
          </cell>
          <cell r="C2">
            <v>-8.0525827550117004</v>
          </cell>
          <cell r="D2">
            <v>1.10977887383458</v>
          </cell>
          <cell r="E2">
            <v>2.0234355739820602</v>
          </cell>
          <cell r="F2">
            <v>-1.7155979588502099</v>
          </cell>
          <cell r="G2">
            <v>8.9506299986610092</v>
          </cell>
          <cell r="H2">
            <v>0.120558838569345</v>
          </cell>
        </row>
        <row r="3">
          <cell r="B3">
            <v>-5.6066765505065197</v>
          </cell>
          <cell r="C3">
            <v>-10.436288835807201</v>
          </cell>
          <cell r="D3">
            <v>-0.77706426520584404</v>
          </cell>
          <cell r="E3">
            <v>2.20976205657331</v>
          </cell>
          <cell r="F3">
            <v>-2.5372308904610299</v>
          </cell>
          <cell r="G3">
            <v>11.6739963721766</v>
          </cell>
          <cell r="H3">
            <v>2.65425265512968E-2</v>
          </cell>
        </row>
        <row r="4">
          <cell r="B4">
            <v>-0.51549928692300795</v>
          </cell>
          <cell r="C4">
            <v>-5.0115126207940701</v>
          </cell>
          <cell r="D4">
            <v>3.9805140469480502</v>
          </cell>
          <cell r="E4">
            <v>1.91879640659482</v>
          </cell>
          <cell r="F4">
            <v>-0.26865762576543201</v>
          </cell>
          <cell r="G4">
            <v>7.33116065936174</v>
          </cell>
          <cell r="H4">
            <v>0.79559716883215503</v>
          </cell>
        </row>
        <row r="5">
          <cell r="B5">
            <v>1.7526265474082099</v>
          </cell>
          <cell r="C5">
            <v>-2.89247216205835</v>
          </cell>
          <cell r="D5">
            <v>6.3977252568747698</v>
          </cell>
          <cell r="E5">
            <v>2.0795871115867</v>
          </cell>
          <cell r="F5">
            <v>0.84277621151006998</v>
          </cell>
          <cell r="G5">
            <v>9.8207431860617493</v>
          </cell>
          <cell r="H5">
            <v>0.41940545721535899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mode_only_b1"/>
    </sheetNames>
    <sheetDataSet>
      <sheetData sheetId="0">
        <row r="2">
          <cell r="C2">
            <v>0.47378459260777001</v>
          </cell>
          <cell r="D2">
            <v>-0.21728530041517399</v>
          </cell>
          <cell r="E2">
            <v>1.1648544856307099</v>
          </cell>
          <cell r="F2">
            <v>0.31042696039187001</v>
          </cell>
          <cell r="G2">
            <v>1.5262353244372899</v>
          </cell>
          <cell r="H2">
            <v>10.0649438716158</v>
          </cell>
          <cell r="I2">
            <v>0.15774188884117299</v>
          </cell>
        </row>
        <row r="3">
          <cell r="C3">
            <v>0.76097638133650203</v>
          </cell>
          <cell r="D3">
            <v>0.20657533600459099</v>
          </cell>
          <cell r="E3">
            <v>1.31537742666841</v>
          </cell>
          <cell r="F3">
            <v>0.249012898987129</v>
          </cell>
          <cell r="G3">
            <v>3.05597173653174</v>
          </cell>
          <cell r="H3">
            <v>10.058119813279999</v>
          </cell>
          <cell r="I3">
            <v>1.20498765328992E-2</v>
          </cell>
        </row>
        <row r="4">
          <cell r="C4">
            <v>2.1973305450155798</v>
          </cell>
          <cell r="D4">
            <v>1.27086356211134</v>
          </cell>
          <cell r="E4">
            <v>3.1237975279198298</v>
          </cell>
          <cell r="F4">
            <v>0.41598701688430001</v>
          </cell>
          <cell r="G4">
            <v>5.2822094340188004</v>
          </cell>
          <cell r="H4">
            <v>10.032741801900899</v>
          </cell>
          <cell r="I4">
            <v>3.5265421460791102E-4</v>
          </cell>
        </row>
        <row r="5">
          <cell r="C5">
            <v>0.28719182728667603</v>
          </cell>
          <cell r="D5">
            <v>-0.27619536483468599</v>
          </cell>
          <cell r="E5">
            <v>0.85057901940803904</v>
          </cell>
          <cell r="F5">
            <v>0.25278098060920201</v>
          </cell>
          <cell r="G5">
            <v>1.13612909719134</v>
          </cell>
          <cell r="H5">
            <v>9.9796043361084799</v>
          </cell>
          <cell r="I5">
            <v>0.28244939184700601</v>
          </cell>
        </row>
        <row r="6">
          <cell r="C6">
            <v>1.72354596224421</v>
          </cell>
          <cell r="D6">
            <v>0.38656275856772898</v>
          </cell>
          <cell r="E6">
            <v>3.0605291659206899</v>
          </cell>
          <cell r="F6">
            <v>0.60018298528295</v>
          </cell>
          <cell r="G6">
            <v>2.87170080543296</v>
          </cell>
          <cell r="H6">
            <v>10.0170141611785</v>
          </cell>
          <cell r="I6">
            <v>1.6593160095756999E-2</v>
          </cell>
        </row>
        <row r="7">
          <cell r="C7">
            <v>1.4363541724389</v>
          </cell>
          <cell r="D7">
            <v>0.173747886383984</v>
          </cell>
          <cell r="E7">
            <v>2.6989604584938198</v>
          </cell>
          <cell r="F7">
            <v>0.56700865353228602</v>
          </cell>
          <cell r="G7">
            <v>2.5332138468978602</v>
          </cell>
          <cell r="H7">
            <v>10.045057726456999</v>
          </cell>
          <cell r="I7">
            <v>2.9612571688781501E-2</v>
          </cell>
        </row>
        <row r="8">
          <cell r="C8">
            <v>0.126</v>
          </cell>
          <cell r="D8">
            <v>-0.16947081719958801</v>
          </cell>
          <cell r="E8">
            <v>0.42068783151473998</v>
          </cell>
          <cell r="F8">
            <v>0.13100000000000001</v>
          </cell>
          <cell r="G8">
            <v>0.96199999999999997</v>
          </cell>
          <cell r="H8">
            <v>9.07</v>
          </cell>
          <cell r="I8">
            <v>0.36105768886178802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mode_only_b1"/>
    </sheetNames>
    <sheetDataSet>
      <sheetData sheetId="0">
        <row r="2">
          <cell r="C2">
            <v>-2.42388123109864</v>
          </cell>
          <cell r="D2">
            <v>-5.1639179054579003</v>
          </cell>
          <cell r="E2">
            <v>0.31615544326061301</v>
          </cell>
          <cell r="F2">
            <v>1.22966142177376</v>
          </cell>
          <cell r="G2">
            <v>-1.97117774712508</v>
          </cell>
          <cell r="H2">
            <v>9.9951482064782198</v>
          </cell>
          <cell r="I2">
            <v>7.7007575189590199E-2</v>
          </cell>
        </row>
        <row r="3">
          <cell r="C3">
            <v>3.5497518552582199</v>
          </cell>
          <cell r="D3">
            <v>1.68894791918596</v>
          </cell>
          <cell r="E3">
            <v>5.4105557913304798</v>
          </cell>
          <cell r="F3">
            <v>0.83497041187126297</v>
          </cell>
          <cell r="G3">
            <v>4.2513504727704303</v>
          </cell>
          <cell r="H3">
            <v>9.9851969944974392</v>
          </cell>
          <cell r="I3">
            <v>1.6915227726735701E-3</v>
          </cell>
        </row>
        <row r="4">
          <cell r="C4">
            <v>6.60866325868583</v>
          </cell>
          <cell r="D4">
            <v>4.03872758741079</v>
          </cell>
          <cell r="E4">
            <v>9.1785989299608701</v>
          </cell>
          <cell r="F4">
            <v>1.1546821263600899</v>
          </cell>
          <cell r="G4">
            <v>5.7233615276598702</v>
          </cell>
          <cell r="H4">
            <v>10.0826677081455</v>
          </cell>
          <cell r="I4">
            <v>1.86136087748461E-4</v>
          </cell>
        </row>
        <row r="5">
          <cell r="C5">
            <v>5.9736332606028402</v>
          </cell>
          <cell r="D5">
            <v>2.7990538276321999</v>
          </cell>
          <cell r="E5">
            <v>9.1482126935734698</v>
          </cell>
          <cell r="F5">
            <v>1.4247856711593501</v>
          </cell>
          <cell r="G5">
            <v>4.1926539419378503</v>
          </cell>
          <cell r="H5">
            <v>10.00095002622</v>
          </cell>
          <cell r="I5">
            <v>1.84975937556112E-3</v>
          </cell>
        </row>
        <row r="6">
          <cell r="C6">
            <v>9.0325449853367594</v>
          </cell>
          <cell r="D6">
            <v>5.1073784365764299</v>
          </cell>
          <cell r="E6">
            <v>12.957711534096999</v>
          </cell>
          <cell r="F6">
            <v>1.76225026124493</v>
          </cell>
          <cell r="G6">
            <v>5.1255744907398997</v>
          </cell>
          <cell r="H6">
            <v>10.0258476233798</v>
          </cell>
          <cell r="I6">
            <v>4.4341100027380599E-4</v>
          </cell>
        </row>
        <row r="7">
          <cell r="C7">
            <v>3.0589118485968601</v>
          </cell>
          <cell r="D7">
            <v>1.2110793880900199</v>
          </cell>
          <cell r="E7">
            <v>4.9067443091036997</v>
          </cell>
          <cell r="F7">
            <v>0.828038061593664</v>
          </cell>
          <cell r="G7">
            <v>3.6941681674748099</v>
          </cell>
          <cell r="H7">
            <v>9.8875289692457606</v>
          </cell>
          <cell r="I7">
            <v>4.2283106167244396E-3</v>
          </cell>
        </row>
        <row r="8">
          <cell r="C8">
            <v>1.454</v>
          </cell>
          <cell r="D8">
            <v>0.34926829005161703</v>
          </cell>
          <cell r="E8">
            <v>2.5589229280695598</v>
          </cell>
          <cell r="F8">
            <v>0.48899999999999999</v>
          </cell>
          <cell r="G8">
            <v>2.9740000000000002</v>
          </cell>
          <cell r="H8">
            <v>9.07</v>
          </cell>
          <cell r="I8">
            <v>1.5474208938682401E-2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r2"/>
    </sheetNames>
    <sheetDataSet>
      <sheetData sheetId="0">
        <row r="2">
          <cell r="B2">
            <v>0.85446438419230797</v>
          </cell>
        </row>
        <row r="3">
          <cell r="B3">
            <v>9.8314637587148292E-3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1"/>
    </sheetNames>
    <sheetDataSet>
      <sheetData sheetId="0">
        <row r="2">
          <cell r="C2">
            <v>0.47338353537875799</v>
          </cell>
          <cell r="D2">
            <v>-0.21075437199055699</v>
          </cell>
          <cell r="E2">
            <v>1.15752144274807</v>
          </cell>
          <cell r="F2">
            <v>0.30737960700505301</v>
          </cell>
          <cell r="G2">
            <v>1.54006161954321</v>
          </cell>
          <cell r="H2">
            <v>10.0811478232848</v>
          </cell>
          <cell r="I2">
            <v>0.15432377110369699</v>
          </cell>
        </row>
        <row r="3">
          <cell r="C3">
            <v>0.57088479025351102</v>
          </cell>
          <cell r="D3">
            <v>9.0292408327498699E-2</v>
          </cell>
          <cell r="E3">
            <v>1.05147717217952</v>
          </cell>
          <cell r="F3">
            <v>0.217472204203733</v>
          </cell>
          <cell r="G3">
            <v>2.6250931347469701</v>
          </cell>
          <cell r="H3">
            <v>10.6477098965512</v>
          </cell>
          <cell r="I3">
            <v>2.4191666042288101E-2</v>
          </cell>
        </row>
        <row r="4">
          <cell r="C4">
            <v>1.8592129521480001</v>
          </cell>
          <cell r="D4">
            <v>0.94887990850563797</v>
          </cell>
          <cell r="E4">
            <v>2.7695459957903701</v>
          </cell>
          <cell r="F4">
            <v>0.41447099115812303</v>
          </cell>
          <cell r="G4">
            <v>4.48574928477613</v>
          </cell>
          <cell r="H4">
            <v>11.1925886477079</v>
          </cell>
          <cell r="I4">
            <v>8.8393102122387695E-4</v>
          </cell>
        </row>
        <row r="5">
          <cell r="C5">
            <v>9.7513351019307901E-2</v>
          </cell>
          <cell r="D5">
            <v>-0.44045146063048901</v>
          </cell>
          <cell r="E5">
            <v>0.63547816266910395</v>
          </cell>
          <cell r="F5">
            <v>0.243221491264597</v>
          </cell>
          <cell r="G5">
            <v>0.400924073412675</v>
          </cell>
          <cell r="H5">
            <v>10.5747997038384</v>
          </cell>
          <cell r="I5">
            <v>0.69645755349016802</v>
          </cell>
        </row>
        <row r="6">
          <cell r="C6">
            <v>1.38587502812868</v>
          </cell>
          <cell r="D6">
            <v>5.2528776189395297E-2</v>
          </cell>
          <cell r="E6">
            <v>2.7192212800679698</v>
          </cell>
          <cell r="F6">
            <v>0.60286223321041699</v>
          </cell>
          <cell r="G6">
            <v>2.29882542276449</v>
          </cell>
          <cell r="H6">
            <v>10.579972559856399</v>
          </cell>
          <cell r="I6">
            <v>4.2999134110018898E-2</v>
          </cell>
        </row>
        <row r="7">
          <cell r="C7">
            <v>1.2883524321031801</v>
          </cell>
          <cell r="D7">
            <v>9.5705588991045795E-2</v>
          </cell>
          <cell r="E7">
            <v>2.48099927521532</v>
          </cell>
          <cell r="F7">
            <v>0.53670713107547496</v>
          </cell>
          <cell r="G7">
            <v>2.4004757110671</v>
          </cell>
          <cell r="H7">
            <v>10.2026066977258</v>
          </cell>
          <cell r="I7">
            <v>3.6828079980555498E-2</v>
          </cell>
        </row>
        <row r="8">
          <cell r="C8">
            <v>-6.5000000000000002E-2</v>
          </cell>
          <cell r="D8">
            <v>-0.41139941663879098</v>
          </cell>
          <cell r="E8">
            <v>0.28091636681488003</v>
          </cell>
          <cell r="F8">
            <v>0.155</v>
          </cell>
          <cell r="G8">
            <v>-0.42099999999999999</v>
          </cell>
          <cell r="H8">
            <v>9.76</v>
          </cell>
          <cell r="I8">
            <v>0.68262667946956601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1"/>
    </sheetNames>
    <sheetDataSet>
      <sheetData sheetId="0">
        <row r="2">
          <cell r="C2">
            <v>-2.1352459764041201</v>
          </cell>
          <cell r="D2">
            <v>-4.9195481067984401</v>
          </cell>
          <cell r="E2">
            <v>0.64905615399018501</v>
          </cell>
          <cell r="F2">
            <v>1.25147857231635</v>
          </cell>
          <cell r="G2">
            <v>-1.70617861435055</v>
          </cell>
          <cell r="H2">
            <v>10.111597394458199</v>
          </cell>
          <cell r="I2">
            <v>0.118448453812146</v>
          </cell>
        </row>
        <row r="3">
          <cell r="C3">
            <v>2.9558935561294102</v>
          </cell>
          <cell r="D3">
            <v>1.31482614437834</v>
          </cell>
          <cell r="E3">
            <v>4.5969609678804897</v>
          </cell>
          <cell r="F3">
            <v>0.73766373034670496</v>
          </cell>
          <cell r="G3">
            <v>4.0071016569299598</v>
          </cell>
          <cell r="H3">
            <v>10.115938127023499</v>
          </cell>
          <cell r="I3">
            <v>2.43304211981286E-3</v>
          </cell>
        </row>
        <row r="4">
          <cell r="C4">
            <v>5.2240445812056704</v>
          </cell>
          <cell r="D4">
            <v>3.08799784037683</v>
          </cell>
          <cell r="E4">
            <v>7.3600913220345099</v>
          </cell>
          <cell r="F4">
            <v>0.96683132330296795</v>
          </cell>
          <cell r="G4">
            <v>5.4032636875674003</v>
          </cell>
          <cell r="H4">
            <v>10.669682057902399</v>
          </cell>
          <cell r="I4">
            <v>2.3967712002150599E-4</v>
          </cell>
        </row>
        <row r="5">
          <cell r="C5">
            <v>5.0911283555781299</v>
          </cell>
          <cell r="D5">
            <v>2.1362839380129599</v>
          </cell>
          <cell r="E5">
            <v>8.0459727731433102</v>
          </cell>
          <cell r="F5">
            <v>1.3302499636091201</v>
          </cell>
          <cell r="G5">
            <v>3.8271967636558402</v>
          </cell>
          <cell r="H5">
            <v>10.233385035498999</v>
          </cell>
          <cell r="I5">
            <v>3.1974051083359001E-3</v>
          </cell>
        </row>
        <row r="6">
          <cell r="C6">
            <v>7.3592817949925999</v>
          </cell>
          <cell r="D6">
            <v>3.74429448985462</v>
          </cell>
          <cell r="E6">
            <v>10.974269100130501</v>
          </cell>
          <cell r="F6">
            <v>1.6305451365661401</v>
          </cell>
          <cell r="G6">
            <v>4.5133873512332903</v>
          </cell>
          <cell r="H6">
            <v>10.383218650309001</v>
          </cell>
          <cell r="I6">
            <v>1.0187060023360199E-3</v>
          </cell>
        </row>
        <row r="7">
          <cell r="C7">
            <v>2.26815124150832</v>
          </cell>
          <cell r="D7">
            <v>0.72817045979653205</v>
          </cell>
          <cell r="E7">
            <v>3.8081320232201099</v>
          </cell>
          <cell r="F7">
            <v>0.69107739661177903</v>
          </cell>
          <cell r="G7">
            <v>3.2820509723348401</v>
          </cell>
          <cell r="H7">
            <v>9.9921311041041303</v>
          </cell>
          <cell r="I7">
            <v>8.2687501963912696E-3</v>
          </cell>
        </row>
        <row r="8">
          <cell r="C8">
            <v>2.3820000000000001</v>
          </cell>
          <cell r="D8">
            <v>1.4397806898676699</v>
          </cell>
          <cell r="E8">
            <v>3.3237253619104798</v>
          </cell>
          <cell r="F8">
            <v>0.42199999999999999</v>
          </cell>
          <cell r="G8">
            <v>5.6459999999999999</v>
          </cell>
          <cell r="H8">
            <v>9.84</v>
          </cell>
          <cell r="I8">
            <v>2.26851593624225E-4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% no reg tier"/>
      <sheetName val="Hi Reg"/>
      <sheetName val="L% in REG tier"/>
      <sheetName val="nuc_PA_only"/>
      <sheetName val="either or"/>
    </sheetNames>
    <sheetDataSet>
      <sheetData sheetId="0">
        <row r="3">
          <cell r="J3" t="str">
            <v>MDC MWH</v>
          </cell>
        </row>
        <row r="4">
          <cell r="J4" t="str">
            <v>MDC MYN</v>
          </cell>
        </row>
        <row r="5">
          <cell r="J5" t="str">
            <v>MDC MDQ</v>
          </cell>
        </row>
        <row r="6">
          <cell r="J6" t="str">
            <v>MWH MYN</v>
          </cell>
        </row>
        <row r="7">
          <cell r="J7" t="str">
            <v>MWH MDQ</v>
          </cell>
        </row>
        <row r="8">
          <cell r="J8" t="str">
            <v>MYN MDQ</v>
          </cell>
        </row>
        <row r="9">
          <cell r="J9" t="str">
            <v>F M</v>
          </cell>
        </row>
      </sheetData>
      <sheetData sheetId="1" refreshError="1"/>
      <sheetData sheetId="2" refreshError="1"/>
      <sheetData sheetId="3" refreshError="1"/>
      <sheetData sheetId="4">
        <row r="2">
          <cell r="C2" t="str">
            <v>OR</v>
          </cell>
        </row>
        <row r="3">
          <cell r="C3">
            <v>1.4E-2</v>
          </cell>
          <cell r="K3">
            <v>0.107363245183589</v>
          </cell>
          <cell r="L3">
            <v>1.230385293647074E-2</v>
          </cell>
        </row>
        <row r="4">
          <cell r="C4">
            <v>7.9</v>
          </cell>
          <cell r="K4">
            <v>6.3087397758961004</v>
          </cell>
          <cell r="L4">
            <v>3.51269524010893</v>
          </cell>
        </row>
        <row r="5">
          <cell r="C5">
            <v>36</v>
          </cell>
          <cell r="K5">
            <v>35.312248797243299</v>
          </cell>
          <cell r="L5">
            <v>18.199993821225402</v>
          </cell>
        </row>
        <row r="6">
          <cell r="C6">
            <v>550</v>
          </cell>
          <cell r="K6">
            <v>4172.9345664766697</v>
          </cell>
          <cell r="L6">
            <v>485.88447735752322</v>
          </cell>
        </row>
        <row r="7">
          <cell r="C7">
            <v>2483</v>
          </cell>
          <cell r="K7">
            <v>19666.065311152099</v>
          </cell>
          <cell r="L7">
            <v>2204.60802836534</v>
          </cell>
        </row>
        <row r="8">
          <cell r="C8">
            <v>4.5</v>
          </cell>
          <cell r="K8">
            <v>3.7063088987134893</v>
          </cell>
          <cell r="L8">
            <v>2.01868245913733</v>
          </cell>
        </row>
        <row r="9">
          <cell r="C9">
            <v>0.94</v>
          </cell>
          <cell r="K9">
            <v>3.7086848249953204</v>
          </cell>
          <cell r="L9">
            <v>0.750265518505979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B2">
            <v>66.206999999999994</v>
          </cell>
          <cell r="C2">
            <v>43.514616892347199</v>
          </cell>
          <cell r="D2">
            <v>88.899362418405701</v>
          </cell>
          <cell r="E2">
            <v>10.45</v>
          </cell>
          <cell r="F2">
            <v>6.3360000000000003</v>
          </cell>
          <cell r="G2">
            <v>12.38</v>
          </cell>
          <cell r="H2">
            <v>3.3000000000000003E-5</v>
          </cell>
          <cell r="I2">
            <v>5.1999999999999997E-5</v>
          </cell>
          <cell r="J2" t="str">
            <v>p&lt;0.0001</v>
          </cell>
        </row>
        <row r="3">
          <cell r="B3">
            <v>66.611000000000004</v>
          </cell>
          <cell r="C3">
            <v>43.916594525232803</v>
          </cell>
          <cell r="D3">
            <v>89.304848267984895</v>
          </cell>
          <cell r="E3">
            <v>10.451000000000001</v>
          </cell>
          <cell r="F3">
            <v>6.3730000000000002</v>
          </cell>
          <cell r="G3">
            <v>12.38</v>
          </cell>
          <cell r="H3">
            <v>3.1000000000000001E-5</v>
          </cell>
          <cell r="I3">
            <v>5.0000000000000002E-5</v>
          </cell>
          <cell r="J3" t="str">
            <v>p&lt;0.0001</v>
          </cell>
        </row>
        <row r="4">
          <cell r="B4">
            <v>63.911999999999999</v>
          </cell>
          <cell r="C4">
            <v>41.242903273445002</v>
          </cell>
          <cell r="D4">
            <v>86.580525272490505</v>
          </cell>
          <cell r="E4">
            <v>10.433</v>
          </cell>
          <cell r="F4">
            <v>6.1260000000000003</v>
          </cell>
          <cell r="G4">
            <v>12.3</v>
          </cell>
          <cell r="H4">
            <v>4.6E-5</v>
          </cell>
          <cell r="I4">
            <v>6.9999999999999994E-5</v>
          </cell>
          <cell r="J4" t="str">
            <v>p&lt;0.0001</v>
          </cell>
        </row>
        <row r="5">
          <cell r="B5">
            <v>45.158999999999999</v>
          </cell>
          <cell r="C5">
            <v>22.545726930497</v>
          </cell>
          <cell r="D5">
            <v>67.771491195103906</v>
          </cell>
          <cell r="E5">
            <v>10.391999999999999</v>
          </cell>
          <cell r="F5">
            <v>4.3460000000000001</v>
          </cell>
          <cell r="G5">
            <v>12.14</v>
          </cell>
          <cell r="H5">
            <v>9.3000000000000005E-4</v>
          </cell>
          <cell r="I5">
            <v>1E-3</v>
          </cell>
          <cell r="J5" t="str">
            <v>p&lt;0.01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267.09500000000003</v>
          </cell>
          <cell r="C2">
            <v>186.65039216949501</v>
          </cell>
          <cell r="D2">
            <v>347.53945100447299</v>
          </cell>
          <cell r="E2">
            <v>31.193000000000001</v>
          </cell>
          <cell r="F2">
            <v>8.5630000000000006</v>
          </cell>
          <cell r="G2">
            <v>4.95</v>
          </cell>
          <cell r="H2">
            <v>3.8000000000000002E-4</v>
          </cell>
          <cell r="I2">
            <v>5.1000000000000004E-4</v>
          </cell>
          <cell r="J2" t="str">
            <v>p&lt;0.001</v>
          </cell>
        </row>
        <row r="3">
          <cell r="B3">
            <v>266.72199999999998</v>
          </cell>
          <cell r="C3">
            <v>186.278721708294</v>
          </cell>
          <cell r="D3">
            <v>347.16607047559103</v>
          </cell>
          <cell r="E3">
            <v>31.195</v>
          </cell>
          <cell r="F3">
            <v>8.5500000000000007</v>
          </cell>
          <cell r="G3">
            <v>4.95</v>
          </cell>
          <cell r="H3">
            <v>3.8000000000000002E-4</v>
          </cell>
          <cell r="I3">
            <v>5.1000000000000004E-4</v>
          </cell>
          <cell r="J3" t="str">
            <v>p&lt;0.001</v>
          </cell>
        </row>
        <row r="4">
          <cell r="B4">
            <v>264.61700000000002</v>
          </cell>
          <cell r="C4">
            <v>184.165229815256</v>
          </cell>
          <cell r="D4">
            <v>345.06958318293903</v>
          </cell>
          <cell r="E4">
            <v>31.178999999999998</v>
          </cell>
          <cell r="F4">
            <v>8.4870000000000001</v>
          </cell>
          <cell r="G4">
            <v>4.9400000000000004</v>
          </cell>
          <cell r="H4">
            <v>4.0000000000000002E-4</v>
          </cell>
          <cell r="I4">
            <v>5.1999999999999995E-4</v>
          </cell>
          <cell r="J4" t="str">
            <v>p&lt;0.001</v>
          </cell>
        </row>
        <row r="5">
          <cell r="B5">
            <v>250.261</v>
          </cell>
          <cell r="C5">
            <v>169.79078240875299</v>
          </cell>
          <cell r="D5">
            <v>330.73051939626401</v>
          </cell>
          <cell r="E5">
            <v>31.146000000000001</v>
          </cell>
          <cell r="F5">
            <v>8.0350000000000001</v>
          </cell>
          <cell r="G5">
            <v>4.92</v>
          </cell>
          <cell r="H5">
            <v>5.1999999999999995E-4</v>
          </cell>
          <cell r="I5">
            <v>6.0999999999999997E-4</v>
          </cell>
          <cell r="J5" t="str">
            <v>p&lt;0.001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2">
          <cell r="B2">
            <v>84.262</v>
          </cell>
          <cell r="C2">
            <v>80.634898090073094</v>
          </cell>
          <cell r="D2">
            <v>87.889521622177298</v>
          </cell>
          <cell r="E2">
            <v>1.657</v>
          </cell>
          <cell r="F2">
            <v>50.838000000000001</v>
          </cell>
          <cell r="G2">
            <v>11.54</v>
          </cell>
          <cell r="H2">
            <v>6.1999999999999998E-15</v>
          </cell>
          <cell r="I2">
            <v>2.5000000000000001E-14</v>
          </cell>
          <cell r="J2" t="str">
            <v>p&lt;0.0001</v>
          </cell>
        </row>
        <row r="3">
          <cell r="B3">
            <v>84.387</v>
          </cell>
          <cell r="C3">
            <v>80.759157436588893</v>
          </cell>
          <cell r="D3">
            <v>88.013981670640902</v>
          </cell>
          <cell r="E3">
            <v>1.6579999999999999</v>
          </cell>
          <cell r="F3">
            <v>50.911000000000001</v>
          </cell>
          <cell r="G3">
            <v>11.54</v>
          </cell>
          <cell r="H3">
            <v>5.9999999999999997E-15</v>
          </cell>
          <cell r="I3">
            <v>2.5000000000000001E-14</v>
          </cell>
          <cell r="J3" t="str">
            <v>p&lt;0.0001</v>
          </cell>
        </row>
        <row r="4">
          <cell r="B4">
            <v>85.884</v>
          </cell>
          <cell r="C4">
            <v>82.257315012199697</v>
          </cell>
          <cell r="D4">
            <v>89.509953450877504</v>
          </cell>
          <cell r="E4">
            <v>1.657</v>
          </cell>
          <cell r="F4">
            <v>51.843000000000004</v>
          </cell>
          <cell r="G4">
            <v>11.52</v>
          </cell>
          <cell r="H4">
            <v>5.2000000000000001E-15</v>
          </cell>
          <cell r="I4">
            <v>2.3999999999999999E-14</v>
          </cell>
          <cell r="J4" t="str">
            <v>p&lt;0.0001</v>
          </cell>
        </row>
        <row r="5">
          <cell r="B5">
            <v>86.745000000000005</v>
          </cell>
          <cell r="C5">
            <v>83.120559517265207</v>
          </cell>
          <cell r="D5">
            <v>90.369299039297601</v>
          </cell>
          <cell r="E5">
            <v>1.655</v>
          </cell>
          <cell r="F5">
            <v>52.414000000000001</v>
          </cell>
          <cell r="G5">
            <v>11.47</v>
          </cell>
          <cell r="H5">
            <v>5.1E-15</v>
          </cell>
          <cell r="I5">
            <v>2.3999999999999999E-14</v>
          </cell>
          <cell r="J5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90.093999999999994</v>
          </cell>
          <cell r="C2">
            <v>86.076363660855506</v>
          </cell>
          <cell r="D2">
            <v>94.112041878367805</v>
          </cell>
          <cell r="E2">
            <v>1.78</v>
          </cell>
          <cell r="F2">
            <v>50.613</v>
          </cell>
          <cell r="G2">
            <v>9.1300000000000008</v>
          </cell>
          <cell r="H2">
            <v>1.7E-12</v>
          </cell>
          <cell r="I2">
            <v>3.4000000000000001E-12</v>
          </cell>
          <cell r="J2" t="str">
            <v>p&lt;0.0001</v>
          </cell>
        </row>
        <row r="3">
          <cell r="B3">
            <v>90.501000000000005</v>
          </cell>
          <cell r="C3">
            <v>86.482542607305106</v>
          </cell>
          <cell r="D3">
            <v>94.518498929950795</v>
          </cell>
          <cell r="E3">
            <v>1.78</v>
          </cell>
          <cell r="F3">
            <v>50.837000000000003</v>
          </cell>
          <cell r="G3">
            <v>9.14</v>
          </cell>
          <cell r="H3">
            <v>1.6E-12</v>
          </cell>
          <cell r="I3">
            <v>3.3000000000000001E-12</v>
          </cell>
          <cell r="J3" t="str">
            <v>p&lt;0.0001</v>
          </cell>
        </row>
        <row r="4">
          <cell r="B4">
            <v>91.813000000000002</v>
          </cell>
          <cell r="C4">
            <v>87.796729947601094</v>
          </cell>
          <cell r="D4">
            <v>95.829644685119007</v>
          </cell>
          <cell r="E4">
            <v>1.7789999999999999</v>
          </cell>
          <cell r="F4">
            <v>51.621000000000002</v>
          </cell>
          <cell r="G4">
            <v>9.1</v>
          </cell>
          <cell r="H4">
            <v>1.5000000000000001E-12</v>
          </cell>
          <cell r="I4">
            <v>3.2000000000000001E-12</v>
          </cell>
          <cell r="J4" t="str">
            <v>p&lt;0.0001</v>
          </cell>
        </row>
        <row r="5">
          <cell r="B5">
            <v>94.606999999999999</v>
          </cell>
          <cell r="C5">
            <v>90.593224015084004</v>
          </cell>
          <cell r="D5">
            <v>98.620264099471996</v>
          </cell>
          <cell r="E5">
            <v>1.776</v>
          </cell>
          <cell r="F5">
            <v>53.283999999999999</v>
          </cell>
          <cell r="G5">
            <v>9.0399999999999991</v>
          </cell>
          <cell r="H5">
            <v>1.2999999999999999E-12</v>
          </cell>
          <cell r="I5">
            <v>2.9000000000000002E-12</v>
          </cell>
          <cell r="J5" t="str">
            <v>p&lt;0.0001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0.124</v>
          </cell>
          <cell r="D2">
            <v>-0.18642056809001101</v>
          </cell>
          <cell r="E2">
            <v>0.43513996167241198</v>
          </cell>
          <cell r="F2">
            <v>0.158</v>
          </cell>
          <cell r="G2">
            <v>0.78600000000000003</v>
          </cell>
          <cell r="H2">
            <v>610.99</v>
          </cell>
          <cell r="I2">
            <v>0.432</v>
          </cell>
          <cell r="J2">
            <v>0.53200000000000003</v>
          </cell>
        </row>
        <row r="3">
          <cell r="C3">
            <v>1.621</v>
          </cell>
          <cell r="D3">
            <v>1.3093786725876499</v>
          </cell>
          <cell r="E3">
            <v>1.93347007743885</v>
          </cell>
          <cell r="F3">
            <v>0.159</v>
          </cell>
          <cell r="G3">
            <v>10.204000000000001</v>
          </cell>
          <cell r="H3">
            <v>611.13</v>
          </cell>
          <cell r="I3">
            <v>1.1E-22</v>
          </cell>
          <cell r="J3">
            <v>1.3000000000000001E-21</v>
          </cell>
          <cell r="K3" t="str">
            <v>p&lt;0.0001</v>
          </cell>
        </row>
        <row r="4">
          <cell r="C4">
            <v>2.4830000000000001</v>
          </cell>
          <cell r="D4">
            <v>2.1459478628906798</v>
          </cell>
          <cell r="E4">
            <v>2.8194909812434901</v>
          </cell>
          <cell r="F4">
            <v>0.17100000000000001</v>
          </cell>
          <cell r="G4">
            <v>14.478</v>
          </cell>
          <cell r="H4">
            <v>612.80999999999995</v>
          </cell>
          <cell r="I4">
            <v>4.5000000000000001E-41</v>
          </cell>
          <cell r="J4">
            <v>1.4000000000000001E-39</v>
          </cell>
          <cell r="K4" t="str">
            <v>p&lt;0.0001</v>
          </cell>
        </row>
        <row r="5">
          <cell r="C5">
            <v>1.4970000000000001</v>
          </cell>
          <cell r="D5">
            <v>1.1854525270521099</v>
          </cell>
          <cell r="E5">
            <v>1.80867682923135</v>
          </cell>
          <cell r="F5">
            <v>0.159</v>
          </cell>
          <cell r="G5">
            <v>9.4350000000000005</v>
          </cell>
          <cell r="H5">
            <v>611.16</v>
          </cell>
          <cell r="I5">
            <v>8.1000000000000005E-20</v>
          </cell>
          <cell r="J5">
            <v>7.0999999999999998E-19</v>
          </cell>
          <cell r="K5" t="str">
            <v>p&lt;0.0001</v>
          </cell>
        </row>
        <row r="6">
          <cell r="C6">
            <v>2.3580000000000001</v>
          </cell>
          <cell r="D6">
            <v>2.0209588077641998</v>
          </cell>
          <cell r="E6">
            <v>2.6957606420667402</v>
          </cell>
          <cell r="F6">
            <v>0.17199999999999999</v>
          </cell>
          <cell r="G6">
            <v>13.727</v>
          </cell>
          <cell r="H6">
            <v>612.86</v>
          </cell>
          <cell r="I6">
            <v>1.4000000000000001E-37</v>
          </cell>
          <cell r="J6">
            <v>3.4000000000000003E-36</v>
          </cell>
          <cell r="K6" t="str">
            <v>p&lt;0.0001</v>
          </cell>
        </row>
        <row r="7">
          <cell r="C7">
            <v>0.86099999999999999</v>
          </cell>
          <cell r="D7">
            <v>0.53228450758934498</v>
          </cell>
          <cell r="E7">
            <v>1.19030558605054</v>
          </cell>
          <cell r="F7">
            <v>0.16800000000000001</v>
          </cell>
          <cell r="G7">
            <v>5.141</v>
          </cell>
          <cell r="H7">
            <v>612.36</v>
          </cell>
          <cell r="I7">
            <v>3.7E-7</v>
          </cell>
          <cell r="J7">
            <v>1.3E-6</v>
          </cell>
          <cell r="K7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EA0FEB-AAE2-4C78-B2BA-A97B5D9D7141}" name="Table13" displayName="Table13" ref="A37:K41" totalsRowShown="0" headerRowDxfId="366" dataDxfId="364" headerRowBorderDxfId="365" tableBorderDxfId="363" totalsRowBorderDxfId="362">
  <autoFilter ref="A37:K41" xr:uid="{D3980010-2201-43EF-9941-5D34E4A5CF0F}"/>
  <tableColumns count="11">
    <tableColumn id="1" xr3:uid="{48EA7560-AFDA-4976-872C-A62413C27C30}" name="Predictors" dataDxfId="361">
      <calculatedColumnFormula>A31</calculatedColumnFormula>
    </tableColumn>
    <tableColumn id="2" xr3:uid="{B74BAF5A-A8B1-41AC-AA5C-9C7F4D3C00F5}" name="estimate" dataDxfId="360">
      <calculatedColumnFormula>[7]Mode_l_f0_b0!B2</calculatedColumnFormula>
    </tableColumn>
    <tableColumn id="6" xr3:uid="{25F0D2CD-4553-4F0F-A005-7B069A4DF146}" name="2.5% CI" dataDxfId="359">
      <calculatedColumnFormula>[7]Mode_l_f0_b0!C2</calculatedColumnFormula>
    </tableColumn>
    <tableColumn id="5" xr3:uid="{5C65DEBD-594B-4030-A893-0F5416AC8463}" name="97.5% CI" dataDxfId="358">
      <calculatedColumnFormula>[7]Mode_l_f0_b0!D2</calculatedColumnFormula>
    </tableColumn>
    <tableColumn id="4" xr3:uid="{E8CB2113-1504-4E4A-8C69-95B41702801D}" name="std.error" dataDxfId="357">
      <calculatedColumnFormula>[7]Mode_l_f0_b0!E2</calculatedColumnFormula>
    </tableColumn>
    <tableColumn id="9" xr3:uid="{3685B48B-FD8D-45C1-BDB3-A8E961B16560}" name="z.value" dataDxfId="356">
      <calculatedColumnFormula>[7]Mode_l_f0_b0!F2</calculatedColumnFormula>
    </tableColumn>
    <tableColumn id="7" xr3:uid="{82530BA9-A214-4E3F-8B7C-1C9D8230702E}" name="df" dataDxfId="355">
      <calculatedColumnFormula>[7]Mode_l_f0_b0!G2</calculatedColumnFormula>
    </tableColumn>
    <tableColumn id="3" xr3:uid="{13FC0C8F-F83E-4E94-AE8C-72CF30BBE373}" name="p.value" dataDxfId="354">
      <calculatedColumnFormula>[7]Mode_l_f0_b0!H2</calculatedColumnFormula>
    </tableColumn>
    <tableColumn id="10" xr3:uid="{11A56334-4561-4E93-921F-E06200DE80A2}" name="p.adj (BH)" dataDxfId="353">
      <calculatedColumnFormula>[7]Mode_l_f0_b0!I2</calculatedColumnFormula>
    </tableColumn>
    <tableColumn id="11" xr3:uid="{C53533F8-7533-44F1-90BA-B150BF875299}" name="signif." dataDxfId="352">
      <calculatedColumnFormula>[7]Mode_l_f0_b0!J2</calculatedColumnFormula>
    </tableColumn>
    <tableColumn id="8" xr3:uid="{C1996589-8716-4257-9BC3-42E65902C402}" name="|CI-delta|" dataDxfId="351">
      <calculatedColumnFormula>B38-C38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BF287D-718A-46E3-92E2-00248ED5E4B0}" name="Table39" displayName="Table39" ref="A43:K47" totalsRowShown="0" headerRowDxfId="350" dataDxfId="348" headerRowBorderDxfId="349" tableBorderDxfId="347" totalsRowBorderDxfId="346">
  <autoFilter ref="A43:K47" xr:uid="{DE40A492-BBA9-4876-8724-BC64B3994271}"/>
  <tableColumns count="11">
    <tableColumn id="1" xr3:uid="{E34199D2-D5CB-45DC-96B2-AAECCF32344B}" name="Predictors" dataDxfId="345">
      <calculatedColumnFormula>A25</calculatedColumnFormula>
    </tableColumn>
    <tableColumn id="2" xr3:uid="{BF536D58-8825-421A-A286-3483AB4A0DBA}" name="estimate" dataDxfId="344">
      <calculatedColumnFormula>[8]Mode_h_f0_b0!B2</calculatedColumnFormula>
    </tableColumn>
    <tableColumn id="6" xr3:uid="{51E253F3-5545-4607-87E2-3713F0C79ED0}" name="2.5% CI" dataDxfId="343">
      <calculatedColumnFormula>[8]Mode_h_f0_b0!C2</calculatedColumnFormula>
    </tableColumn>
    <tableColumn id="5" xr3:uid="{39D9684C-88E4-42B1-822E-8BF560658BA3}" name="97.5% CI" dataDxfId="342">
      <calculatedColumnFormula>[8]Mode_h_f0_b0!D2</calculatedColumnFormula>
    </tableColumn>
    <tableColumn id="4" xr3:uid="{DBC249E2-0975-4309-BB60-C2B64E67BC66}" name="std.error" dataDxfId="341">
      <calculatedColumnFormula>[8]Mode_h_f0_b0!E2</calculatedColumnFormula>
    </tableColumn>
    <tableColumn id="9" xr3:uid="{BC78A058-E2DD-4469-A2C7-112329D198FF}" name="z.value" dataDxfId="340">
      <calculatedColumnFormula>[8]Mode_h_f0_b0!F2</calculatedColumnFormula>
    </tableColumn>
    <tableColumn id="7" xr3:uid="{345088CF-6388-428C-8713-406B42459A71}" name="df" dataDxfId="339">
      <calculatedColumnFormula>[8]Mode_h_f0_b0!G2</calculatedColumnFormula>
    </tableColumn>
    <tableColumn id="3" xr3:uid="{BF186A60-3668-4E52-B6B6-5FA634C84064}" name="p.value" dataDxfId="338">
      <calculatedColumnFormula>[8]Mode_h_f0_b0!H2</calculatedColumnFormula>
    </tableColumn>
    <tableColumn id="10" xr3:uid="{E78DB220-8E24-4C46-B371-A977334CF0B2}" name="p.adj (BH)" dataDxfId="337">
      <calculatedColumnFormula>[8]Mode_h_f0_b0!I2</calculatedColumnFormula>
    </tableColumn>
    <tableColumn id="11" xr3:uid="{2F1FC41D-A1D8-48DD-84A7-299EAAD40F3C}" name="signif." dataDxfId="336">
      <calculatedColumnFormula>[8]Mode_h_f0_b0!J2</calculatedColumnFormula>
    </tableColumn>
    <tableColumn id="8" xr3:uid="{91174BE1-7871-4821-9200-FC6E6061BBAE}" name="|CI-delta|" dataDxfId="335">
      <calculatedColumnFormula>B44-C44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4B90E4-FA0D-41C5-A3C7-D9B1134DF15D}" name="Table510" displayName="Table510" ref="A24:K28" totalsRowShown="0" headerRowDxfId="334" dataDxfId="332" headerRowBorderDxfId="333" tableBorderDxfId="331" totalsRowBorderDxfId="330">
  <autoFilter ref="A24:K28" xr:uid="{31E79EDA-219D-4CFA-8AA6-6A991A81B772}"/>
  <tableColumns count="11">
    <tableColumn id="1" xr3:uid="{25702B6E-B402-46EF-BB07-89FAEF761F4F}" name="Predictors" dataDxfId="329" totalsRowDxfId="328"/>
    <tableColumn id="2" xr3:uid="{55B41C0A-72EC-4198-AA0E-BDC398F9A9B6}" name="estimate" dataDxfId="327" totalsRowDxfId="326">
      <calculatedColumnFormula>[5]Mode_l_t_b0!B2</calculatedColumnFormula>
    </tableColumn>
    <tableColumn id="6" xr3:uid="{6F9FB966-53EF-492A-8818-43E47D6A804A}" name="2.5% CI" dataDxfId="325" totalsRowDxfId="324">
      <calculatedColumnFormula>[5]Mode_l_t_b0!C2</calculatedColumnFormula>
    </tableColumn>
    <tableColumn id="5" xr3:uid="{79B4821D-DF78-4C65-827E-002BD888F3B1}" name="97.5% CI" dataDxfId="323" totalsRowDxfId="322">
      <calculatedColumnFormula>[5]Mode_l_t_b0!D2</calculatedColumnFormula>
    </tableColumn>
    <tableColumn id="11" xr3:uid="{F482AED5-B0BB-44BF-A8A3-D22BD51F16CA}" name="std.error" dataDxfId="321" totalsRowDxfId="320">
      <calculatedColumnFormula>[5]Mode_l_t_b0!E2</calculatedColumnFormula>
    </tableColumn>
    <tableColumn id="9" xr3:uid="{53B8EDFB-2AAD-41CD-93BC-EBF6EF2FA968}" name="z.value" dataDxfId="319" totalsRowDxfId="318">
      <calculatedColumnFormula>[5]Mode_l_t_b0!F2</calculatedColumnFormula>
    </tableColumn>
    <tableColumn id="7" xr3:uid="{B0600C54-1844-472B-91DD-0DF3D01FC44F}" name="df" dataDxfId="317" totalsRowDxfId="316">
      <calculatedColumnFormula>[5]Mode_l_t_b0!G2</calculatedColumnFormula>
    </tableColumn>
    <tableColumn id="4" xr3:uid="{FFDC2EE2-1EB3-430A-AB8E-0D89238F833E}" name="p.value" dataDxfId="315" totalsRowDxfId="314">
      <calculatedColumnFormula>[5]Mode_l_t_b0!H2</calculatedColumnFormula>
    </tableColumn>
    <tableColumn id="10" xr3:uid="{8B21A8EF-9EF0-49B8-878F-EF9AB4B6D715}" name="p.adj (BH)" dataDxfId="313" totalsRowDxfId="312">
      <calculatedColumnFormula>[5]Mode_l_t_b0!I2</calculatedColumnFormula>
    </tableColumn>
    <tableColumn id="12" xr3:uid="{21E87D89-DB44-44E1-BA28-5564E496E5EF}" name="signif." dataDxfId="311" totalsRowDxfId="310">
      <calculatedColumnFormula>[5]Mode_l_t_b0!J2</calculatedColumnFormula>
    </tableColumn>
    <tableColumn id="8" xr3:uid="{E2CC2F45-52B6-411C-8857-874E710E7E9B}" name="|CI-delta|" dataDxfId="309" totalsRowDxfId="308">
      <calculatedColumnFormula>Table510[[#This Row],[estimate]]-Table510[[#This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0D7496-E8F9-48C6-855C-307C342D7AEF}" name="Table611" displayName="Table611" ref="A30:K34" totalsRowShown="0" headerRowDxfId="307" dataDxfId="305" headerRowBorderDxfId="306" tableBorderDxfId="304" totalsRowBorderDxfId="303">
  <autoFilter ref="A30:K34" xr:uid="{873E651E-364D-4C9A-AC67-F669F1DC98F7}"/>
  <tableColumns count="11">
    <tableColumn id="1" xr3:uid="{13F39383-83C5-45EF-A3DC-AB048CB47D6B}" name="Predictors" dataDxfId="302">
      <calculatedColumnFormula>A25</calculatedColumnFormula>
    </tableColumn>
    <tableColumn id="2" xr3:uid="{FC01EC59-6FE5-4984-BD8C-56885D9A31B8}" name="estimate" dataDxfId="301">
      <calculatedColumnFormula>[6]Mode_h_t_b0!B2</calculatedColumnFormula>
    </tableColumn>
    <tableColumn id="6" xr3:uid="{123C5CEC-9EE4-42F1-8816-CAF425B9D6D8}" name="2.5% CI" dataDxfId="300">
      <calculatedColumnFormula>[6]Mode_h_t_b0!C2</calculatedColumnFormula>
    </tableColumn>
    <tableColumn id="5" xr3:uid="{92067161-C954-46A0-8425-5016FA39924E}" name="97.5% CI" dataDxfId="299">
      <calculatedColumnFormula>[6]Mode_h_t_b0!D2</calculatedColumnFormula>
    </tableColumn>
    <tableColumn id="11" xr3:uid="{BC66FE52-2DDC-4CAC-9D64-34A38A088B90}" name="std.error" dataDxfId="298">
      <calculatedColumnFormula>[6]Mode_h_t_b0!E2</calculatedColumnFormula>
    </tableColumn>
    <tableColumn id="7" xr3:uid="{69D0A743-B567-418D-8648-545E6E11AEE0}" name="z.value" dataDxfId="297">
      <calculatedColumnFormula>[6]Mode_h_t_b0!F2</calculatedColumnFormula>
    </tableColumn>
    <tableColumn id="4" xr3:uid="{AB4376D9-BDD9-4A36-92E2-B7D853A42B1C}" name="df" dataDxfId="296">
      <calculatedColumnFormula>[6]Mode_h_t_b0!G2</calculatedColumnFormula>
    </tableColumn>
    <tableColumn id="3" xr3:uid="{C7B0BA2B-ACE8-4615-9B5C-C09C24410A89}" name="p.value" dataDxfId="295">
      <calculatedColumnFormula>[6]Mode_h_t_b0!H2</calculatedColumnFormula>
    </tableColumn>
    <tableColumn id="9" xr3:uid="{BEF049A1-4C9A-4C60-8CFB-2E49B1922F49}" name="p.adj (BH)" dataDxfId="294">
      <calculatedColumnFormula>[6]Mode_h_t_b0!I2</calculatedColumnFormula>
    </tableColumn>
    <tableColumn id="10" xr3:uid="{B0F27E57-CE19-4360-9DFD-7B3120590EF3}" name="signif." dataDxfId="293">
      <calculatedColumnFormula>[6]Mode_h_t_b0!J2</calculatedColumnFormula>
    </tableColumn>
    <tableColumn id="8" xr3:uid="{017AD943-F50D-4872-8482-F88D6E168424}" name="|CI-delta|" dataDxfId="292">
      <calculatedColumnFormula>B31-C31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A46:F54" totalsRowShown="0" headerRowDxfId="291" dataDxfId="289" headerRowBorderDxfId="290" tableBorderDxfId="288" totalsRowBorderDxfId="287">
  <autoFilter ref="A46:F54" xr:uid="{D3980010-2201-43EF-9941-5D34E4A5CF0F}"/>
  <tableColumns count="6">
    <tableColumn id="1" xr3:uid="{48EA7560-AFDA-4976-872C-A62413C27C30}" name="Predictors" dataDxfId="286">
      <calculatedColumnFormula>A36</calculatedColumnFormula>
    </tableColumn>
    <tableColumn id="2" xr3:uid="{B74BAF5A-A8B1-41AC-AA5C-9C7F4D3C00F5}" name="Estimates" dataDxfId="285">
      <calculatedColumnFormula>[13]Mode_PA_l_f0_b0!B2</calculatedColumnFormula>
    </tableColumn>
    <tableColumn id="6" xr3:uid="{25F0D2CD-4553-4F0F-A005-7B069A4DF146}" name="2.5% CI" dataDxfId="284">
      <calculatedColumnFormula>[13]Mode_PA_l_f0_b0!C2</calculatedColumnFormula>
    </tableColumn>
    <tableColumn id="5" xr3:uid="{5C65DEBD-594B-4030-A893-0F5416AC8463}" name="97.5% CI" dataDxfId="283">
      <calculatedColumnFormula>[13]Mode_PA_l_f0_b0!D2</calculatedColumnFormula>
    </tableColumn>
    <tableColumn id="4" xr3:uid="{DBAE124F-2AB7-4917-BD3C-BAC1A6AFFFAF}" name="std.error" dataDxfId="282">
      <calculatedColumnFormula>[13]Mode_PA_l_f0_b0!E2</calculatedColumnFormula>
    </tableColumn>
    <tableColumn id="8" xr3:uid="{C1996589-8716-4257-9BC3-42E65902C402}" name="|CI-delta|" dataDxfId="281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A57:F65" totalsRowShown="0" headerRowDxfId="280" dataDxfId="278" headerRowBorderDxfId="279" tableBorderDxfId="277" totalsRowBorderDxfId="276">
  <autoFilter ref="A57:F65" xr:uid="{DE40A492-BBA9-4876-8724-BC64B3994271}"/>
  <tableColumns count="6">
    <tableColumn id="1" xr3:uid="{E34199D2-D5CB-45DC-96B2-AAECCF32344B}" name="Predictors" dataDxfId="275">
      <calculatedColumnFormula>A25</calculatedColumnFormula>
    </tableColumn>
    <tableColumn id="2" xr3:uid="{BF536D58-8825-421A-A286-3483AB4A0DBA}" name="Estimates" dataDxfId="274">
      <calculatedColumnFormula>[15]Mode_PA_h_f0_b0!B2</calculatedColumnFormula>
    </tableColumn>
    <tableColumn id="6" xr3:uid="{51E253F3-5545-4607-87E2-3713F0C79ED0}" name="2.5% CI" dataDxfId="273">
      <calculatedColumnFormula>[15]Mode_PA_h_f0_b0!C2</calculatedColumnFormula>
    </tableColumn>
    <tableColumn id="5" xr3:uid="{39D9684C-88E4-42B1-822E-8BF560658BA3}" name="97.5% CI" dataDxfId="272">
      <calculatedColumnFormula>[15]Mode_PA_h_f0_b0!D2</calculatedColumnFormula>
    </tableColumn>
    <tableColumn id="4" xr3:uid="{4F3547A1-CB2A-4E98-A68E-DF4170001DC3}" name="std.error" dataDxfId="271">
      <calculatedColumnFormula>[15]Mode_PA_h_f0_b0!E2</calculatedColumnFormula>
    </tableColumn>
    <tableColumn id="8" xr3:uid="{91174BE1-7871-4821-9200-FC6E6061BBAE}" name="|CI-delta|" dataDxfId="270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4:F32" totalsRowShown="0" headerRowDxfId="269" dataDxfId="267" headerRowBorderDxfId="268" tableBorderDxfId="266" totalsRowBorderDxfId="265">
  <autoFilter ref="A24:F32" xr:uid="{31E79EDA-219D-4CFA-8AA6-6A991A81B772}"/>
  <tableColumns count="6">
    <tableColumn id="1" xr3:uid="{25702B6E-B402-46EF-BB07-89FAEF761F4F}" name="Predictors" dataDxfId="264"/>
    <tableColumn id="2" xr3:uid="{55B41C0A-72EC-4198-AA0E-BDC398F9A9B6}" name="Estimates" dataDxfId="263">
      <calculatedColumnFormula>[17]Mode_PA_l_t_b0!B2</calculatedColumnFormula>
    </tableColumn>
    <tableColumn id="6" xr3:uid="{6F9FB966-53EF-492A-8818-43E47D6A804A}" name="2.5% CI" dataDxfId="262">
      <calculatedColumnFormula>[17]Mode_PA_l_t_b0!C2</calculatedColumnFormula>
    </tableColumn>
    <tableColumn id="5" xr3:uid="{79B4821D-DF78-4C65-827E-002BD888F3B1}" name="97.5% CI" dataDxfId="261">
      <calculatedColumnFormula>[17]Mode_PA_l_t_b0!D2</calculatedColumnFormula>
    </tableColumn>
    <tableColumn id="7" xr3:uid="{01175348-29DC-4F27-B480-262E1C115CFD}" name="std.error" dataDxfId="260">
      <calculatedColumnFormula>[17]Mode_PA_l_t_b0!E2</calculatedColumnFormula>
    </tableColumn>
    <tableColumn id="8" xr3:uid="{E2CC2F45-52B6-411C-8857-874E710E7E9B}" name="|CI-delta|" dataDxfId="259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35:F43" totalsRowShown="0" headerRowDxfId="258" dataDxfId="256" headerRowBorderDxfId="257" tableBorderDxfId="255" totalsRowBorderDxfId="254">
  <autoFilter ref="A35:F43" xr:uid="{873E651E-364D-4C9A-AC67-F669F1DC98F7}"/>
  <tableColumns count="6">
    <tableColumn id="1" xr3:uid="{13F39383-83C5-45EF-A3DC-AB048CB47D6B}" name="Predictors" dataDxfId="253">
      <calculatedColumnFormula>A25</calculatedColumnFormula>
    </tableColumn>
    <tableColumn id="2" xr3:uid="{FC01EC59-6FE5-4984-BD8C-56885D9A31B8}" name="Estimates" dataDxfId="252">
      <calculatedColumnFormula>[19]Mode_PA_h_t_b0!B2</calculatedColumnFormula>
    </tableColumn>
    <tableColumn id="6" xr3:uid="{123C5CEC-9EE4-42F1-8816-CAF425B9D6D8}" name="2.5% CI" dataDxfId="251">
      <calculatedColumnFormula>[19]Mode_PA_h_t_b0!C2</calculatedColumnFormula>
    </tableColumn>
    <tableColumn id="5" xr3:uid="{92067161-C954-46A0-8425-5016FA39924E}" name="97.5% CI" dataDxfId="250">
      <calculatedColumnFormula>[19]Mode_PA_h_t_b0!D2</calculatedColumnFormula>
    </tableColumn>
    <tableColumn id="4" xr3:uid="{EE36E7A7-1D0E-40E4-B2DF-C9C6E2F96C9B}" name="std.error" dataDxfId="249">
      <calculatedColumnFormula>[19]Mode_PA_h_t_b0!E2</calculatedColumnFormula>
    </tableColumn>
    <tableColumn id="8" xr3:uid="{017AD943-F50D-4872-8482-F88D6E168424}" name="|CI-delta|" dataDxfId="248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94E7-48F5-4E75-AB1C-752B69E229F6}">
  <dimension ref="A1:AZ47"/>
  <sheetViews>
    <sheetView showGridLines="0" zoomScale="111" zoomScaleNormal="111" zoomScaleSheetLayoutView="55" workbookViewId="0">
      <selection activeCell="M6" sqref="M6"/>
    </sheetView>
  </sheetViews>
  <sheetFormatPr defaultColWidth="8.88671875" defaultRowHeight="14.4" x14ac:dyDescent="0.3"/>
  <cols>
    <col min="1" max="1" width="17.109375" style="22" customWidth="1"/>
    <col min="2" max="5" width="11.88671875" style="104" customWidth="1"/>
    <col min="6" max="10" width="11.88671875" style="22" customWidth="1"/>
    <col min="11" max="14" width="11.88671875" style="104" customWidth="1"/>
    <col min="15" max="15" width="10.44140625" style="103" bestFit="1" customWidth="1"/>
    <col min="16" max="16" width="11.5546875" style="102" bestFit="1" customWidth="1"/>
    <col min="17" max="17" width="12" style="22" bestFit="1" customWidth="1"/>
    <col min="18" max="18" width="10.109375" style="22" bestFit="1" customWidth="1"/>
    <col min="19" max="19" width="6" style="22" bestFit="1" customWidth="1"/>
    <col min="20" max="20" width="10.44140625" style="22" bestFit="1" customWidth="1"/>
    <col min="21" max="21" width="12.44140625" style="22" bestFit="1" customWidth="1"/>
    <col min="22" max="22" width="9.109375" style="22" bestFit="1" customWidth="1"/>
    <col min="23" max="23" width="12.6640625" style="22" bestFit="1" customWidth="1"/>
    <col min="24" max="24" width="10.44140625" style="22" bestFit="1" customWidth="1"/>
    <col min="25" max="25" width="11.5546875" style="22" bestFit="1" customWidth="1"/>
    <col min="26" max="26" width="14.33203125" style="22" bestFit="1" customWidth="1"/>
    <col min="27" max="27" width="12.33203125" style="22" customWidth="1"/>
    <col min="28" max="28" width="12.6640625" style="101" bestFit="1" customWidth="1"/>
    <col min="29" max="29" width="12.6640625" style="22" bestFit="1" customWidth="1"/>
    <col min="30" max="30" width="12" style="22" bestFit="1" customWidth="1"/>
    <col min="31" max="31" width="12.6640625" style="22" bestFit="1" customWidth="1"/>
    <col min="32" max="32" width="12" style="22" customWidth="1"/>
    <col min="33" max="33" width="13" style="22" customWidth="1"/>
    <col min="34" max="16384" width="8.88671875" style="22"/>
  </cols>
  <sheetData>
    <row r="1" spans="1:26" s="205" customFormat="1" ht="24" customHeight="1" thickBot="1" x14ac:dyDescent="0.45">
      <c r="A1" s="260" t="s">
        <v>70</v>
      </c>
      <c r="B1" s="260"/>
      <c r="C1" s="260"/>
      <c r="D1" s="260"/>
      <c r="E1" s="260"/>
      <c r="F1" s="260"/>
      <c r="G1" s="260"/>
      <c r="H1" s="260"/>
      <c r="I1" s="260"/>
      <c r="J1" s="260"/>
      <c r="K1" s="203"/>
      <c r="L1" s="261" t="s">
        <v>75</v>
      </c>
      <c r="M1" s="261"/>
      <c r="N1" s="261"/>
      <c r="O1" s="204"/>
      <c r="P1" s="204"/>
    </row>
    <row r="2" spans="1:26" s="188" customFormat="1" ht="15.75" customHeight="1" thickTop="1" thickBot="1" x14ac:dyDescent="0.35">
      <c r="A2" s="147" t="str">
        <f>A25</f>
        <v>MDC</v>
      </c>
      <c r="B2" s="147" t="s">
        <v>33</v>
      </c>
      <c r="C2" s="147" t="str">
        <f t="shared" ref="C2:J2" si="0">C$24</f>
        <v>2.5% CI</v>
      </c>
      <c r="D2" s="147" t="str">
        <f t="shared" si="0"/>
        <v>97.5% CI</v>
      </c>
      <c r="E2" s="147" t="str">
        <f t="shared" si="0"/>
        <v>std.error</v>
      </c>
      <c r="F2" s="147" t="str">
        <f t="shared" si="0"/>
        <v>z.value</v>
      </c>
      <c r="G2" s="147" t="str">
        <f t="shared" si="0"/>
        <v>df</v>
      </c>
      <c r="H2" s="147" t="str">
        <f t="shared" si="0"/>
        <v>p.value</v>
      </c>
      <c r="I2" s="147" t="str">
        <f t="shared" si="0"/>
        <v>p.adj (BH)</v>
      </c>
      <c r="J2" s="147" t="str">
        <f t="shared" si="0"/>
        <v>signif.</v>
      </c>
      <c r="L2" s="39" t="s">
        <v>66</v>
      </c>
      <c r="M2" s="39" t="s">
        <v>67</v>
      </c>
      <c r="N2" s="39" t="s">
        <v>68</v>
      </c>
    </row>
    <row r="3" spans="1:26" s="188" customFormat="1" ht="15.75" customHeight="1" thickTop="1" thickBot="1" x14ac:dyDescent="0.35">
      <c r="A3" s="151" t="s">
        <v>58</v>
      </c>
      <c r="B3" s="152">
        <f t="shared" ref="B3:J3" si="1">B38</f>
        <v>84.262</v>
      </c>
      <c r="C3" s="152">
        <f t="shared" si="1"/>
        <v>80.634898090073094</v>
      </c>
      <c r="D3" s="152">
        <f t="shared" si="1"/>
        <v>87.889521622177298</v>
      </c>
      <c r="E3" s="151">
        <f t="shared" si="1"/>
        <v>1.657</v>
      </c>
      <c r="F3" s="151">
        <f t="shared" si="1"/>
        <v>50.838000000000001</v>
      </c>
      <c r="G3" s="151">
        <f t="shared" si="1"/>
        <v>11.54</v>
      </c>
      <c r="H3" s="206">
        <f t="shared" si="1"/>
        <v>6.1999999999999998E-15</v>
      </c>
      <c r="I3" s="206">
        <f t="shared" si="1"/>
        <v>2.5000000000000001E-14</v>
      </c>
      <c r="J3" s="154" t="str">
        <f t="shared" si="1"/>
        <v>p&lt;0.0001</v>
      </c>
      <c r="L3" s="167" t="s">
        <v>41</v>
      </c>
      <c r="M3" s="227">
        <f>[1]Mode_l_f0_r2!$B$3</f>
        <v>3.8351665334162899E-2</v>
      </c>
      <c r="N3" s="227">
        <f>[1]Mode_l_f0_r2!$B$2</f>
        <v>0.92799109672532598</v>
      </c>
    </row>
    <row r="4" spans="1:26" s="188" customFormat="1" ht="15.75" customHeight="1" thickBot="1" x14ac:dyDescent="0.35">
      <c r="A4" s="155" t="s">
        <v>59</v>
      </c>
      <c r="B4" s="155">
        <f t="shared" ref="B4:J4" si="2">B44</f>
        <v>90.093999999999994</v>
      </c>
      <c r="C4" s="155">
        <f t="shared" si="2"/>
        <v>86.076363660855506</v>
      </c>
      <c r="D4" s="155">
        <f t="shared" si="2"/>
        <v>94.112041878367805</v>
      </c>
      <c r="E4" s="156">
        <f t="shared" si="2"/>
        <v>1.78</v>
      </c>
      <c r="F4" s="156">
        <f t="shared" si="2"/>
        <v>50.613</v>
      </c>
      <c r="G4" s="156">
        <f t="shared" si="2"/>
        <v>9.1300000000000008</v>
      </c>
      <c r="H4" s="207">
        <f t="shared" si="2"/>
        <v>1.7E-12</v>
      </c>
      <c r="I4" s="207">
        <f t="shared" si="2"/>
        <v>3.4000000000000001E-12</v>
      </c>
      <c r="J4" s="158" t="str">
        <f t="shared" si="2"/>
        <v>p&lt;0.0001</v>
      </c>
      <c r="L4" s="170" t="s">
        <v>42</v>
      </c>
      <c r="M4" s="228">
        <f>[2]Mode_h_f0_r2!$B$3</f>
        <v>9.5347789908128699E-2</v>
      </c>
      <c r="N4" s="228">
        <f>[2]Mode_h_f0_r2!$B$2</f>
        <v>0.87755115375023396</v>
      </c>
    </row>
    <row r="5" spans="1:26" s="188" customFormat="1" ht="15.75" customHeight="1" thickBot="1" x14ac:dyDescent="0.35">
      <c r="A5" s="159" t="s">
        <v>46</v>
      </c>
      <c r="B5" s="159">
        <f t="shared" ref="B5:J5" si="3">B25</f>
        <v>66.206999999999994</v>
      </c>
      <c r="C5" s="159">
        <f t="shared" si="3"/>
        <v>43.514616892347199</v>
      </c>
      <c r="D5" s="159">
        <f t="shared" si="3"/>
        <v>88.899362418405701</v>
      </c>
      <c r="E5" s="155">
        <f t="shared" si="3"/>
        <v>10.45</v>
      </c>
      <c r="F5" s="156">
        <f t="shared" si="3"/>
        <v>6.3360000000000003</v>
      </c>
      <c r="G5" s="156">
        <f t="shared" si="3"/>
        <v>12.38</v>
      </c>
      <c r="H5" s="207">
        <f t="shared" si="3"/>
        <v>3.3000000000000003E-5</v>
      </c>
      <c r="I5" s="207">
        <f t="shared" si="3"/>
        <v>5.1999999999999997E-5</v>
      </c>
      <c r="J5" s="158" t="str">
        <f t="shared" si="3"/>
        <v>p&lt;0.0001</v>
      </c>
      <c r="L5" s="173" t="s">
        <v>4</v>
      </c>
      <c r="M5" s="228">
        <f>[3]Mode_l_t_r2!$B$3</f>
        <v>5.4608297896494802E-2</v>
      </c>
      <c r="N5" s="228">
        <f>[3]Mode_l_t_r2!$B$2</f>
        <v>0.77487713461109398</v>
      </c>
    </row>
    <row r="6" spans="1:26" s="188" customFormat="1" ht="15.75" customHeight="1" x14ac:dyDescent="0.3">
      <c r="A6" s="159" t="s">
        <v>45</v>
      </c>
      <c r="B6" s="159">
        <f t="shared" ref="B6:J6" si="4">B31</f>
        <v>267.09500000000003</v>
      </c>
      <c r="C6" s="159">
        <f t="shared" si="4"/>
        <v>186.65039216949501</v>
      </c>
      <c r="D6" s="159">
        <f t="shared" si="4"/>
        <v>347.53945100447299</v>
      </c>
      <c r="E6" s="155">
        <f t="shared" si="4"/>
        <v>31.193000000000001</v>
      </c>
      <c r="F6" s="156">
        <f t="shared" si="4"/>
        <v>8.5630000000000006</v>
      </c>
      <c r="G6" s="156">
        <f t="shared" si="4"/>
        <v>4.95</v>
      </c>
      <c r="H6" s="207">
        <f t="shared" si="4"/>
        <v>3.8000000000000002E-4</v>
      </c>
      <c r="I6" s="207">
        <f t="shared" si="4"/>
        <v>5.1000000000000004E-4</v>
      </c>
      <c r="J6" s="158" t="str">
        <f t="shared" si="4"/>
        <v>p&lt;0.001</v>
      </c>
      <c r="L6" s="174" t="s">
        <v>3</v>
      </c>
      <c r="M6" s="228">
        <f>[4]Mode_h_t_r2!$B$3</f>
        <v>9.8314637587148292E-3</v>
      </c>
      <c r="N6" s="228">
        <f>[4]Mode_h_t_r2!$B$2</f>
        <v>0.85446438419230797</v>
      </c>
    </row>
    <row r="7" spans="1:26" s="188" customFormat="1" ht="15.75" customHeight="1" thickBot="1" x14ac:dyDescent="0.35">
      <c r="A7" s="161" t="str">
        <f>A26</f>
        <v>MWH</v>
      </c>
      <c r="B7" s="161" t="s">
        <v>33</v>
      </c>
      <c r="C7" s="161" t="str">
        <f t="shared" ref="C7:J7" si="5">C$24</f>
        <v>2.5% CI</v>
      </c>
      <c r="D7" s="161" t="str">
        <f t="shared" si="5"/>
        <v>97.5% CI</v>
      </c>
      <c r="E7" s="161" t="str">
        <f t="shared" si="5"/>
        <v>std.error</v>
      </c>
      <c r="F7" s="161" t="str">
        <f t="shared" si="5"/>
        <v>z.value</v>
      </c>
      <c r="G7" s="161" t="str">
        <f t="shared" si="5"/>
        <v>df</v>
      </c>
      <c r="H7" s="161" t="str">
        <f t="shared" si="5"/>
        <v>p.value</v>
      </c>
      <c r="I7" s="161" t="str">
        <f t="shared" si="5"/>
        <v>p.adj (BH)</v>
      </c>
      <c r="J7" s="161" t="str">
        <f t="shared" si="5"/>
        <v>signif.</v>
      </c>
    </row>
    <row r="8" spans="1:26" s="188" customFormat="1" ht="15.75" customHeight="1" x14ac:dyDescent="0.3">
      <c r="A8" s="151" t="s">
        <v>58</v>
      </c>
      <c r="B8" s="152">
        <f t="shared" ref="B8:J8" si="6">B39</f>
        <v>84.387</v>
      </c>
      <c r="C8" s="152">
        <f t="shared" si="6"/>
        <v>80.759157436588893</v>
      </c>
      <c r="D8" s="152">
        <f t="shared" si="6"/>
        <v>88.013981670640902</v>
      </c>
      <c r="E8" s="151">
        <f t="shared" si="6"/>
        <v>1.6579999999999999</v>
      </c>
      <c r="F8" s="151">
        <f t="shared" si="6"/>
        <v>50.911000000000001</v>
      </c>
      <c r="G8" s="151">
        <f t="shared" si="6"/>
        <v>11.54</v>
      </c>
      <c r="H8" s="153">
        <f t="shared" si="6"/>
        <v>5.9999999999999997E-15</v>
      </c>
      <c r="I8" s="153">
        <f t="shared" si="6"/>
        <v>2.5000000000000001E-14</v>
      </c>
      <c r="J8" s="154" t="str">
        <f t="shared" si="6"/>
        <v>p&lt;0.0001</v>
      </c>
    </row>
    <row r="9" spans="1:26" s="188" customFormat="1" ht="15.75" customHeight="1" x14ac:dyDescent="0.3">
      <c r="A9" s="155" t="s">
        <v>59</v>
      </c>
      <c r="B9" s="155">
        <f t="shared" ref="B9:J9" si="7">B45</f>
        <v>90.501000000000005</v>
      </c>
      <c r="C9" s="155">
        <f t="shared" si="7"/>
        <v>86.482542607305106</v>
      </c>
      <c r="D9" s="155">
        <f t="shared" si="7"/>
        <v>94.518498929950795</v>
      </c>
      <c r="E9" s="156">
        <f t="shared" si="7"/>
        <v>1.78</v>
      </c>
      <c r="F9" s="156">
        <f t="shared" si="7"/>
        <v>50.837000000000003</v>
      </c>
      <c r="G9" s="156">
        <f t="shared" si="7"/>
        <v>9.14</v>
      </c>
      <c r="H9" s="157">
        <f t="shared" si="7"/>
        <v>1.6E-12</v>
      </c>
      <c r="I9" s="157">
        <f t="shared" si="7"/>
        <v>3.3000000000000001E-12</v>
      </c>
      <c r="J9" s="158" t="str">
        <f t="shared" si="7"/>
        <v>p&lt;0.0001</v>
      </c>
    </row>
    <row r="10" spans="1:26" s="188" customFormat="1" ht="15.75" customHeight="1" x14ac:dyDescent="0.3">
      <c r="A10" s="159" t="s">
        <v>46</v>
      </c>
      <c r="B10" s="159">
        <f t="shared" ref="B10:J10" si="8">B26</f>
        <v>66.611000000000004</v>
      </c>
      <c r="C10" s="159">
        <f t="shared" si="8"/>
        <v>43.916594525232803</v>
      </c>
      <c r="D10" s="159">
        <f t="shared" si="8"/>
        <v>89.304848267984895</v>
      </c>
      <c r="E10" s="155">
        <f t="shared" si="8"/>
        <v>10.451000000000001</v>
      </c>
      <c r="F10" s="156">
        <f t="shared" si="8"/>
        <v>6.3730000000000002</v>
      </c>
      <c r="G10" s="156">
        <f t="shared" si="8"/>
        <v>12.38</v>
      </c>
      <c r="H10" s="157">
        <f t="shared" si="8"/>
        <v>3.1000000000000001E-5</v>
      </c>
      <c r="I10" s="157">
        <f t="shared" si="8"/>
        <v>5.0000000000000002E-5</v>
      </c>
      <c r="J10" s="158" t="str">
        <f t="shared" si="8"/>
        <v>p&lt;0.0001</v>
      </c>
    </row>
    <row r="11" spans="1:26" s="188" customFormat="1" ht="15.75" customHeight="1" x14ac:dyDescent="0.3">
      <c r="A11" s="159" t="s">
        <v>45</v>
      </c>
      <c r="B11" s="159">
        <f t="shared" ref="B11:J11" si="9">B32</f>
        <v>266.72199999999998</v>
      </c>
      <c r="C11" s="159">
        <f t="shared" si="9"/>
        <v>186.278721708294</v>
      </c>
      <c r="D11" s="159">
        <f t="shared" si="9"/>
        <v>347.16607047559103</v>
      </c>
      <c r="E11" s="155">
        <f t="shared" si="9"/>
        <v>31.195</v>
      </c>
      <c r="F11" s="156">
        <f t="shared" si="9"/>
        <v>8.5500000000000007</v>
      </c>
      <c r="G11" s="156">
        <f t="shared" si="9"/>
        <v>4.95</v>
      </c>
      <c r="H11" s="157">
        <f t="shared" si="9"/>
        <v>3.8000000000000002E-4</v>
      </c>
      <c r="I11" s="157">
        <f t="shared" si="9"/>
        <v>5.1000000000000004E-4</v>
      </c>
      <c r="J11" s="158" t="str">
        <f t="shared" si="9"/>
        <v>p&lt;0.001</v>
      </c>
      <c r="K11" s="189"/>
      <c r="L11" s="190"/>
      <c r="M11" s="190"/>
      <c r="N11" s="191"/>
      <c r="Z11" s="191"/>
    </row>
    <row r="12" spans="1:26" s="188" customFormat="1" ht="15.75" customHeight="1" thickBot="1" x14ac:dyDescent="0.35">
      <c r="A12" s="161" t="str">
        <f>A27</f>
        <v>MYN</v>
      </c>
      <c r="B12" s="161" t="s">
        <v>33</v>
      </c>
      <c r="C12" s="161" t="str">
        <f t="shared" ref="C12:J12" si="10">C$24</f>
        <v>2.5% CI</v>
      </c>
      <c r="D12" s="161" t="str">
        <f t="shared" si="10"/>
        <v>97.5% CI</v>
      </c>
      <c r="E12" s="161" t="str">
        <f t="shared" si="10"/>
        <v>std.error</v>
      </c>
      <c r="F12" s="161" t="str">
        <f t="shared" si="10"/>
        <v>z.value</v>
      </c>
      <c r="G12" s="161" t="str">
        <f t="shared" si="10"/>
        <v>df</v>
      </c>
      <c r="H12" s="161" t="str">
        <f t="shared" si="10"/>
        <v>p.value</v>
      </c>
      <c r="I12" s="161" t="str">
        <f t="shared" si="10"/>
        <v>p.adj (BH)</v>
      </c>
      <c r="J12" s="161" t="str">
        <f t="shared" si="10"/>
        <v>signif.</v>
      </c>
      <c r="K12" s="189"/>
      <c r="L12" s="189"/>
      <c r="M12" s="190"/>
      <c r="N12" s="192"/>
      <c r="Z12" s="191"/>
    </row>
    <row r="13" spans="1:26" s="188" customFormat="1" ht="15.75" customHeight="1" x14ac:dyDescent="0.3">
      <c r="A13" s="151" t="s">
        <v>58</v>
      </c>
      <c r="B13" s="152">
        <f t="shared" ref="B13:J13" si="11">B40</f>
        <v>85.884</v>
      </c>
      <c r="C13" s="152">
        <f t="shared" si="11"/>
        <v>82.257315012199697</v>
      </c>
      <c r="D13" s="152">
        <f t="shared" si="11"/>
        <v>89.509953450877504</v>
      </c>
      <c r="E13" s="151">
        <f t="shared" si="11"/>
        <v>1.657</v>
      </c>
      <c r="F13" s="151">
        <f t="shared" si="11"/>
        <v>51.843000000000004</v>
      </c>
      <c r="G13" s="151">
        <f t="shared" si="11"/>
        <v>11.52</v>
      </c>
      <c r="H13" s="153">
        <f t="shared" si="11"/>
        <v>5.2000000000000001E-15</v>
      </c>
      <c r="I13" s="153">
        <f t="shared" si="11"/>
        <v>2.3999999999999999E-14</v>
      </c>
      <c r="J13" s="154" t="str">
        <f t="shared" si="11"/>
        <v>p&lt;0.0001</v>
      </c>
      <c r="K13" s="189"/>
      <c r="L13" s="189"/>
      <c r="M13" s="190"/>
      <c r="N13" s="192"/>
      <c r="Z13" s="191"/>
    </row>
    <row r="14" spans="1:26" s="188" customFormat="1" ht="15.75" customHeight="1" x14ac:dyDescent="0.3">
      <c r="A14" s="155" t="s">
        <v>59</v>
      </c>
      <c r="B14" s="155">
        <f t="shared" ref="B14:J14" si="12">B46</f>
        <v>91.813000000000002</v>
      </c>
      <c r="C14" s="155">
        <f t="shared" si="12"/>
        <v>87.796729947601094</v>
      </c>
      <c r="D14" s="155">
        <f t="shared" si="12"/>
        <v>95.829644685119007</v>
      </c>
      <c r="E14" s="156">
        <f t="shared" si="12"/>
        <v>1.7789999999999999</v>
      </c>
      <c r="F14" s="156">
        <f t="shared" si="12"/>
        <v>51.621000000000002</v>
      </c>
      <c r="G14" s="156">
        <f t="shared" si="12"/>
        <v>9.1</v>
      </c>
      <c r="H14" s="157">
        <f t="shared" si="12"/>
        <v>1.5000000000000001E-12</v>
      </c>
      <c r="I14" s="157">
        <f t="shared" si="12"/>
        <v>3.2000000000000001E-12</v>
      </c>
      <c r="J14" s="158" t="str">
        <f t="shared" si="12"/>
        <v>p&lt;0.0001</v>
      </c>
      <c r="K14" s="189"/>
      <c r="L14" s="189"/>
      <c r="M14" s="190"/>
      <c r="N14" s="192"/>
      <c r="Z14" s="191"/>
    </row>
    <row r="15" spans="1:26" s="188" customFormat="1" ht="15.75" customHeight="1" x14ac:dyDescent="0.3">
      <c r="A15" s="159" t="s">
        <v>46</v>
      </c>
      <c r="B15" s="159">
        <f t="shared" ref="B15:J15" si="13">B27</f>
        <v>63.911999999999999</v>
      </c>
      <c r="C15" s="159">
        <f t="shared" si="13"/>
        <v>41.242903273445002</v>
      </c>
      <c r="D15" s="159">
        <f t="shared" si="13"/>
        <v>86.580525272490505</v>
      </c>
      <c r="E15" s="155">
        <f t="shared" si="13"/>
        <v>10.433</v>
      </c>
      <c r="F15" s="156">
        <f t="shared" si="13"/>
        <v>6.1260000000000003</v>
      </c>
      <c r="G15" s="156">
        <f t="shared" si="13"/>
        <v>12.3</v>
      </c>
      <c r="H15" s="157">
        <f t="shared" si="13"/>
        <v>4.6E-5</v>
      </c>
      <c r="I15" s="157">
        <f t="shared" si="13"/>
        <v>6.9999999999999994E-5</v>
      </c>
      <c r="J15" s="158" t="str">
        <f t="shared" si="13"/>
        <v>p&lt;0.0001</v>
      </c>
      <c r="K15" s="189"/>
      <c r="L15" s="189"/>
      <c r="M15" s="190"/>
      <c r="N15" s="192"/>
      <c r="Z15" s="191"/>
    </row>
    <row r="16" spans="1:26" s="188" customFormat="1" ht="15.75" customHeight="1" x14ac:dyDescent="0.3">
      <c r="A16" s="159" t="s">
        <v>45</v>
      </c>
      <c r="B16" s="159">
        <f t="shared" ref="B16:J16" si="14">B28</f>
        <v>45.158999999999999</v>
      </c>
      <c r="C16" s="159">
        <f t="shared" si="14"/>
        <v>22.545726930497</v>
      </c>
      <c r="D16" s="159">
        <f t="shared" si="14"/>
        <v>67.771491195103906</v>
      </c>
      <c r="E16" s="155">
        <f t="shared" si="14"/>
        <v>10.391999999999999</v>
      </c>
      <c r="F16" s="156">
        <f t="shared" si="14"/>
        <v>4.3460000000000001</v>
      </c>
      <c r="G16" s="156">
        <f t="shared" si="14"/>
        <v>12.14</v>
      </c>
      <c r="H16" s="157">
        <f t="shared" si="14"/>
        <v>9.3000000000000005E-4</v>
      </c>
      <c r="I16" s="157">
        <f t="shared" si="14"/>
        <v>1E-3</v>
      </c>
      <c r="J16" s="158" t="str">
        <f t="shared" si="14"/>
        <v>p&lt;0.01</v>
      </c>
      <c r="K16" s="189"/>
      <c r="L16" s="189"/>
      <c r="M16" s="190"/>
      <c r="N16" s="192"/>
      <c r="Z16" s="191"/>
    </row>
    <row r="17" spans="1:52" s="188" customFormat="1" ht="15.75" customHeight="1" thickBot="1" x14ac:dyDescent="0.35">
      <c r="A17" s="161" t="str">
        <f>A33</f>
        <v>MYN</v>
      </c>
      <c r="B17" s="161" t="s">
        <v>33</v>
      </c>
      <c r="C17" s="161" t="str">
        <f t="shared" ref="C17:J17" si="15">C$24</f>
        <v>2.5% CI</v>
      </c>
      <c r="D17" s="161" t="str">
        <f t="shared" si="15"/>
        <v>97.5% CI</v>
      </c>
      <c r="E17" s="161" t="str">
        <f t="shared" si="15"/>
        <v>std.error</v>
      </c>
      <c r="F17" s="161" t="str">
        <f t="shared" si="15"/>
        <v>z.value</v>
      </c>
      <c r="G17" s="161" t="str">
        <f t="shared" si="15"/>
        <v>df</v>
      </c>
      <c r="H17" s="161" t="str">
        <f t="shared" si="15"/>
        <v>p.value</v>
      </c>
      <c r="I17" s="161" t="str">
        <f t="shared" si="15"/>
        <v>p.adj (BH)</v>
      </c>
      <c r="J17" s="161" t="str">
        <f t="shared" si="15"/>
        <v>signif.</v>
      </c>
      <c r="K17" s="189"/>
      <c r="L17" s="189"/>
      <c r="M17" s="190"/>
      <c r="N17" s="192"/>
      <c r="Z17" s="191"/>
    </row>
    <row r="18" spans="1:52" s="188" customFormat="1" ht="15.75" customHeight="1" x14ac:dyDescent="0.3">
      <c r="A18" s="151" t="s">
        <v>58</v>
      </c>
      <c r="B18" s="152">
        <f t="shared" ref="B18:J18" si="16">B41</f>
        <v>86.745000000000005</v>
      </c>
      <c r="C18" s="152">
        <f t="shared" si="16"/>
        <v>83.120559517265207</v>
      </c>
      <c r="D18" s="152">
        <f t="shared" si="16"/>
        <v>90.369299039297601</v>
      </c>
      <c r="E18" s="151">
        <f t="shared" si="16"/>
        <v>1.655</v>
      </c>
      <c r="F18" s="151">
        <f t="shared" si="16"/>
        <v>52.414000000000001</v>
      </c>
      <c r="G18" s="151">
        <f t="shared" si="16"/>
        <v>11.47</v>
      </c>
      <c r="H18" s="153">
        <f t="shared" si="16"/>
        <v>5.1E-15</v>
      </c>
      <c r="I18" s="153">
        <f t="shared" si="16"/>
        <v>2.3999999999999999E-14</v>
      </c>
      <c r="J18" s="154" t="str">
        <f t="shared" si="16"/>
        <v>p&lt;0.0001</v>
      </c>
      <c r="K18" s="189"/>
      <c r="L18" s="189"/>
      <c r="M18" s="190"/>
      <c r="N18" s="192"/>
      <c r="Z18" s="191"/>
    </row>
    <row r="19" spans="1:52" s="188" customFormat="1" ht="15.75" customHeight="1" x14ac:dyDescent="0.3">
      <c r="A19" s="155" t="s">
        <v>59</v>
      </c>
      <c r="B19" s="155">
        <f t="shared" ref="B19:J19" si="17">B47</f>
        <v>94.606999999999999</v>
      </c>
      <c r="C19" s="155">
        <f t="shared" si="17"/>
        <v>90.593224015084004</v>
      </c>
      <c r="D19" s="155">
        <f t="shared" si="17"/>
        <v>98.620264099471996</v>
      </c>
      <c r="E19" s="156">
        <f t="shared" si="17"/>
        <v>1.776</v>
      </c>
      <c r="F19" s="156">
        <f t="shared" si="17"/>
        <v>53.283999999999999</v>
      </c>
      <c r="G19" s="156">
        <f t="shared" si="17"/>
        <v>9.0399999999999991</v>
      </c>
      <c r="H19" s="157">
        <f t="shared" si="17"/>
        <v>1.2999999999999999E-12</v>
      </c>
      <c r="I19" s="157">
        <f t="shared" si="17"/>
        <v>2.9000000000000002E-12</v>
      </c>
      <c r="J19" s="158" t="str">
        <f t="shared" si="17"/>
        <v>p&lt;0.0001</v>
      </c>
      <c r="K19" s="189"/>
      <c r="L19" s="189"/>
      <c r="M19" s="190"/>
      <c r="N19" s="192"/>
      <c r="Z19" s="191"/>
    </row>
    <row r="20" spans="1:52" s="188" customFormat="1" ht="15.75" customHeight="1" x14ac:dyDescent="0.3">
      <c r="A20" s="159" t="s">
        <v>46</v>
      </c>
      <c r="B20" s="159">
        <f t="shared" ref="B20:J20" si="18">B28</f>
        <v>45.158999999999999</v>
      </c>
      <c r="C20" s="159">
        <f t="shared" si="18"/>
        <v>22.545726930497</v>
      </c>
      <c r="D20" s="159">
        <f t="shared" si="18"/>
        <v>67.771491195103906</v>
      </c>
      <c r="E20" s="155">
        <f t="shared" si="18"/>
        <v>10.391999999999999</v>
      </c>
      <c r="F20" s="156">
        <f t="shared" si="18"/>
        <v>4.3460000000000001</v>
      </c>
      <c r="G20" s="156">
        <f t="shared" si="18"/>
        <v>12.14</v>
      </c>
      <c r="H20" s="157">
        <f t="shared" si="18"/>
        <v>9.3000000000000005E-4</v>
      </c>
      <c r="I20" s="157">
        <f t="shared" si="18"/>
        <v>1E-3</v>
      </c>
      <c r="J20" s="158" t="str">
        <f t="shared" si="18"/>
        <v>p&lt;0.01</v>
      </c>
      <c r="K20" s="189"/>
      <c r="L20" s="189"/>
      <c r="M20" s="190"/>
      <c r="N20" s="192"/>
      <c r="Z20" s="191"/>
    </row>
    <row r="21" spans="1:52" s="188" customFormat="1" ht="15.75" customHeight="1" x14ac:dyDescent="0.3">
      <c r="A21" s="159" t="s">
        <v>45</v>
      </c>
      <c r="B21" s="159">
        <f t="shared" ref="B21:J21" si="19">B34</f>
        <v>250.261</v>
      </c>
      <c r="C21" s="159">
        <f t="shared" si="19"/>
        <v>169.79078240875299</v>
      </c>
      <c r="D21" s="159">
        <f t="shared" si="19"/>
        <v>330.73051939626401</v>
      </c>
      <c r="E21" s="155">
        <f t="shared" si="19"/>
        <v>31.146000000000001</v>
      </c>
      <c r="F21" s="156">
        <f t="shared" si="19"/>
        <v>8.0350000000000001</v>
      </c>
      <c r="G21" s="156">
        <f t="shared" si="19"/>
        <v>4.92</v>
      </c>
      <c r="H21" s="160">
        <f t="shared" si="19"/>
        <v>5.1999999999999995E-4</v>
      </c>
      <c r="I21" s="160">
        <f t="shared" si="19"/>
        <v>6.0999999999999997E-4</v>
      </c>
      <c r="J21" s="158" t="str">
        <f t="shared" si="19"/>
        <v>p&lt;0.001</v>
      </c>
      <c r="K21" s="189"/>
      <c r="L21" s="189"/>
      <c r="M21" s="190"/>
      <c r="N21" s="192"/>
      <c r="Z21" s="191"/>
    </row>
    <row r="22" spans="1:52" x14ac:dyDescent="0.3">
      <c r="D22" s="105"/>
    </row>
    <row r="23" spans="1:52" s="3" customFormat="1" ht="25.8" x14ac:dyDescent="0.3">
      <c r="A23" s="1" t="s">
        <v>10</v>
      </c>
      <c r="AB23" s="108"/>
    </row>
    <row r="24" spans="1:52" s="116" customFormat="1" x14ac:dyDescent="0.3">
      <c r="A24" s="119" t="s">
        <v>0</v>
      </c>
      <c r="B24" s="109" t="s">
        <v>51</v>
      </c>
      <c r="C24" s="109" t="s">
        <v>7</v>
      </c>
      <c r="D24" s="109" t="s">
        <v>8</v>
      </c>
      <c r="E24" s="109" t="s">
        <v>5</v>
      </c>
      <c r="F24" s="109" t="s">
        <v>50</v>
      </c>
      <c r="G24" s="109" t="s">
        <v>9</v>
      </c>
      <c r="H24" s="109" t="s">
        <v>49</v>
      </c>
      <c r="I24" s="109" t="s">
        <v>48</v>
      </c>
      <c r="J24" s="109" t="s">
        <v>47</v>
      </c>
      <c r="K24" s="109" t="s">
        <v>22</v>
      </c>
      <c r="Y24" s="117"/>
    </row>
    <row r="25" spans="1:52" s="27" customFormat="1" x14ac:dyDescent="0.3">
      <c r="A25" s="9" t="s">
        <v>14</v>
      </c>
      <c r="B25" s="9">
        <f>[5]Mode_l_t_b0!B2</f>
        <v>66.206999999999994</v>
      </c>
      <c r="C25" s="26">
        <f>[5]Mode_l_t_b0!C2</f>
        <v>43.514616892347199</v>
      </c>
      <c r="D25" s="26">
        <f>[5]Mode_l_t_b0!D2</f>
        <v>88.899362418405701</v>
      </c>
      <c r="E25" s="26">
        <f>[5]Mode_l_t_b0!E2</f>
        <v>10.45</v>
      </c>
      <c r="F25" s="26">
        <f>[5]Mode_l_t_b0!F2</f>
        <v>6.3360000000000003</v>
      </c>
      <c r="G25" s="26">
        <f>[5]Mode_l_t_b0!G2</f>
        <v>12.38</v>
      </c>
      <c r="H25" s="114">
        <f>[5]Mode_l_t_b0!H2</f>
        <v>3.3000000000000003E-5</v>
      </c>
      <c r="I25" s="113">
        <f>[5]Mode_l_t_b0!I2</f>
        <v>5.1999999999999997E-5</v>
      </c>
      <c r="J25" s="112" t="str">
        <f>[5]Mode_l_t_b0!J2</f>
        <v>p&lt;0.0001</v>
      </c>
      <c r="K25" s="106">
        <f>Table510[[#This Row],[estimate]]-Table510[[#This Row],[2.5% CI]]</f>
        <v>22.692383107652795</v>
      </c>
      <c r="L25" s="115"/>
      <c r="X25" s="115"/>
      <c r="Y25" s="20"/>
      <c r="Z25" s="115"/>
      <c r="AH25" s="115"/>
      <c r="AI25" s="115"/>
    </row>
    <row r="26" spans="1:52" s="27" customFormat="1" x14ac:dyDescent="0.3">
      <c r="A26" s="9" t="s">
        <v>15</v>
      </c>
      <c r="B26" s="9">
        <f>[5]Mode_l_t_b0!B3</f>
        <v>66.611000000000004</v>
      </c>
      <c r="C26" s="26">
        <f>[5]Mode_l_t_b0!C3</f>
        <v>43.916594525232803</v>
      </c>
      <c r="D26" s="26">
        <f>[5]Mode_l_t_b0!D3</f>
        <v>89.304848267984895</v>
      </c>
      <c r="E26" s="26">
        <f>[5]Mode_l_t_b0!E3</f>
        <v>10.451000000000001</v>
      </c>
      <c r="F26" s="26">
        <f>[5]Mode_l_t_b0!F3</f>
        <v>6.3730000000000002</v>
      </c>
      <c r="G26" s="26">
        <f>[5]Mode_l_t_b0!G3</f>
        <v>12.38</v>
      </c>
      <c r="H26" s="114">
        <f>[5]Mode_l_t_b0!H3</f>
        <v>3.1000000000000001E-5</v>
      </c>
      <c r="I26" s="113">
        <f>[5]Mode_l_t_b0!I3</f>
        <v>5.0000000000000002E-5</v>
      </c>
      <c r="J26" s="112" t="str">
        <f>[5]Mode_l_t_b0!J3</f>
        <v>p&lt;0.0001</v>
      </c>
      <c r="K26" s="106">
        <f>Table510[[#This Row],[estimate]]-Table510[[#This Row],[2.5% CI]]</f>
        <v>22.694405474767201</v>
      </c>
      <c r="L26" s="115"/>
      <c r="X26" s="115"/>
      <c r="Y26" s="20"/>
      <c r="Z26" s="115"/>
      <c r="AH26" s="115"/>
      <c r="AI26" s="115"/>
      <c r="AQ26" s="115"/>
    </row>
    <row r="27" spans="1:52" s="27" customFormat="1" x14ac:dyDescent="0.3">
      <c r="A27" s="9" t="s">
        <v>16</v>
      </c>
      <c r="B27" s="9">
        <f>[5]Mode_l_t_b0!B4</f>
        <v>63.911999999999999</v>
      </c>
      <c r="C27" s="26">
        <f>[5]Mode_l_t_b0!C4</f>
        <v>41.242903273445002</v>
      </c>
      <c r="D27" s="26">
        <f>[5]Mode_l_t_b0!D4</f>
        <v>86.580525272490505</v>
      </c>
      <c r="E27" s="26">
        <f>[5]Mode_l_t_b0!E4</f>
        <v>10.433</v>
      </c>
      <c r="F27" s="26">
        <f>[5]Mode_l_t_b0!F4</f>
        <v>6.1260000000000003</v>
      </c>
      <c r="G27" s="26">
        <f>[5]Mode_l_t_b0!G4</f>
        <v>12.3</v>
      </c>
      <c r="H27" s="114">
        <f>[5]Mode_l_t_b0!H4</f>
        <v>4.6E-5</v>
      </c>
      <c r="I27" s="113">
        <f>[5]Mode_l_t_b0!I4</f>
        <v>6.9999999999999994E-5</v>
      </c>
      <c r="J27" s="112" t="str">
        <f>[5]Mode_l_t_b0!J4</f>
        <v>p&lt;0.0001</v>
      </c>
      <c r="K27" s="106">
        <f>Table510[[#This Row],[estimate]]-Table510[[#This Row],[2.5% CI]]</f>
        <v>22.669096726554997</v>
      </c>
      <c r="L27" s="115"/>
      <c r="X27" s="115"/>
      <c r="Y27" s="20"/>
      <c r="Z27" s="115"/>
      <c r="AH27" s="115"/>
      <c r="AI27" s="115"/>
      <c r="AZ27" s="115"/>
    </row>
    <row r="28" spans="1:52" s="27" customFormat="1" x14ac:dyDescent="0.3">
      <c r="A28" s="13" t="s">
        <v>17</v>
      </c>
      <c r="B28" s="13">
        <f>[5]Mode_l_t_b0!B5</f>
        <v>45.158999999999999</v>
      </c>
      <c r="C28" s="26">
        <f>[5]Mode_l_t_b0!C5</f>
        <v>22.545726930497</v>
      </c>
      <c r="D28" s="26">
        <f>[5]Mode_l_t_b0!D5</f>
        <v>67.771491195103906</v>
      </c>
      <c r="E28" s="26">
        <f>[5]Mode_l_t_b0!E5</f>
        <v>10.391999999999999</v>
      </c>
      <c r="F28" s="26">
        <f>[5]Mode_l_t_b0!F5</f>
        <v>4.3460000000000001</v>
      </c>
      <c r="G28" s="26">
        <f>[5]Mode_l_t_b0!G5</f>
        <v>12.14</v>
      </c>
      <c r="H28" s="114">
        <f>[5]Mode_l_t_b0!H5</f>
        <v>9.3000000000000005E-4</v>
      </c>
      <c r="I28" s="113">
        <f>[5]Mode_l_t_b0!I5</f>
        <v>1E-3</v>
      </c>
      <c r="J28" s="112" t="str">
        <f>[5]Mode_l_t_b0!J5</f>
        <v>p&lt;0.01</v>
      </c>
      <c r="K28" s="106">
        <f>Table510[[#This Row],[estimate]]-Table510[[#This Row],[2.5% CI]]</f>
        <v>22.613273069502998</v>
      </c>
      <c r="Y28" s="20"/>
    </row>
    <row r="29" spans="1:52" s="27" customFormat="1" ht="25.8" x14ac:dyDescent="0.3">
      <c r="A29" s="1" t="s">
        <v>11</v>
      </c>
      <c r="B29" s="1"/>
      <c r="C29" s="21"/>
      <c r="D29" s="21"/>
      <c r="E29" s="21"/>
      <c r="F29" s="3"/>
      <c r="G29" s="3"/>
      <c r="H29" s="3"/>
      <c r="I29" s="3"/>
      <c r="J29" s="111"/>
      <c r="K29" s="23"/>
      <c r="L29" s="19"/>
      <c r="AC29" s="110"/>
    </row>
    <row r="30" spans="1:52" s="3" customFormat="1" ht="25.8" x14ac:dyDescent="0.3">
      <c r="A30" s="2" t="s">
        <v>0</v>
      </c>
      <c r="B30" s="4" t="s">
        <v>51</v>
      </c>
      <c r="C30" s="24" t="s">
        <v>7</v>
      </c>
      <c r="D30" s="24" t="s">
        <v>8</v>
      </c>
      <c r="E30" s="24" t="s">
        <v>5</v>
      </c>
      <c r="F30" s="109" t="s">
        <v>50</v>
      </c>
      <c r="G30" s="109" t="s">
        <v>9</v>
      </c>
      <c r="H30" s="109" t="s">
        <v>49</v>
      </c>
      <c r="I30" s="109" t="s">
        <v>48</v>
      </c>
      <c r="J30" s="109" t="s">
        <v>47</v>
      </c>
      <c r="K30" s="4" t="s">
        <v>22</v>
      </c>
      <c r="AB30" s="108"/>
    </row>
    <row r="31" spans="1:52" x14ac:dyDescent="0.3">
      <c r="A31" s="9" t="str">
        <f>A25</f>
        <v>MDC</v>
      </c>
      <c r="B31" s="9">
        <f>[6]Mode_h_t_b0!B2</f>
        <v>267.09500000000003</v>
      </c>
      <c r="C31" s="11">
        <f>[6]Mode_h_t_b0!C2</f>
        <v>186.65039216949501</v>
      </c>
      <c r="D31" s="11">
        <f>[6]Mode_h_t_b0!D2</f>
        <v>347.53945100447299</v>
      </c>
      <c r="E31" s="11">
        <f>[6]Mode_h_t_b0!E2</f>
        <v>31.193000000000001</v>
      </c>
      <c r="F31" s="12">
        <f>[6]Mode_h_t_b0!F2</f>
        <v>8.5630000000000006</v>
      </c>
      <c r="G31" s="12">
        <f>[6]Mode_h_t_b0!G2</f>
        <v>4.95</v>
      </c>
      <c r="H31" s="107">
        <f>[6]Mode_h_t_b0!H2</f>
        <v>3.8000000000000002E-4</v>
      </c>
      <c r="I31" s="107">
        <f>[6]Mode_h_t_b0!I2</f>
        <v>5.1000000000000004E-4</v>
      </c>
      <c r="J31" s="12" t="str">
        <f>[6]Mode_h_t_b0!J2</f>
        <v>p&lt;0.001</v>
      </c>
      <c r="K31" s="106">
        <f>B31-C31</f>
        <v>80.444607830505021</v>
      </c>
      <c r="L31" s="22"/>
      <c r="M31" s="22"/>
      <c r="N31" s="22"/>
      <c r="O31" s="22"/>
      <c r="P31" s="22"/>
      <c r="Y31" s="104"/>
      <c r="AB31" s="22"/>
    </row>
    <row r="32" spans="1:52" s="27" customFormat="1" x14ac:dyDescent="0.3">
      <c r="A32" s="9" t="str">
        <f>A26</f>
        <v>MWH</v>
      </c>
      <c r="B32" s="9">
        <f>[6]Mode_h_t_b0!B3</f>
        <v>266.72199999999998</v>
      </c>
      <c r="C32" s="11">
        <f>[6]Mode_h_t_b0!C3</f>
        <v>186.278721708294</v>
      </c>
      <c r="D32" s="11">
        <f>[6]Mode_h_t_b0!D3</f>
        <v>347.16607047559103</v>
      </c>
      <c r="E32" s="11">
        <f>[6]Mode_h_t_b0!E3</f>
        <v>31.195</v>
      </c>
      <c r="F32" s="12">
        <f>[6]Mode_h_t_b0!F3</f>
        <v>8.5500000000000007</v>
      </c>
      <c r="G32" s="12">
        <f>[6]Mode_h_t_b0!G3</f>
        <v>4.95</v>
      </c>
      <c r="H32" s="107">
        <f>[6]Mode_h_t_b0!H3</f>
        <v>3.8000000000000002E-4</v>
      </c>
      <c r="I32" s="107">
        <f>[6]Mode_h_t_b0!I3</f>
        <v>5.1000000000000004E-4</v>
      </c>
      <c r="J32" s="12" t="str">
        <f>[6]Mode_h_t_b0!J3</f>
        <v>p&lt;0.001</v>
      </c>
      <c r="K32" s="106">
        <f>B32-C32</f>
        <v>80.44327829170598</v>
      </c>
      <c r="Y32" s="31"/>
    </row>
    <row r="33" spans="1:25" s="27" customFormat="1" x14ac:dyDescent="0.3">
      <c r="A33" s="9" t="str">
        <f>A27</f>
        <v>MYN</v>
      </c>
      <c r="B33" s="9">
        <f>[6]Mode_h_t_b0!B4</f>
        <v>264.61700000000002</v>
      </c>
      <c r="C33" s="11">
        <f>[6]Mode_h_t_b0!C4</f>
        <v>184.165229815256</v>
      </c>
      <c r="D33" s="11">
        <f>[6]Mode_h_t_b0!D4</f>
        <v>345.06958318293903</v>
      </c>
      <c r="E33" s="11">
        <f>[6]Mode_h_t_b0!E4</f>
        <v>31.178999999999998</v>
      </c>
      <c r="F33" s="12">
        <f>[6]Mode_h_t_b0!F4</f>
        <v>8.4870000000000001</v>
      </c>
      <c r="G33" s="12">
        <f>[6]Mode_h_t_b0!G4</f>
        <v>4.9400000000000004</v>
      </c>
      <c r="H33" s="107">
        <f>[6]Mode_h_t_b0!H4</f>
        <v>4.0000000000000002E-4</v>
      </c>
      <c r="I33" s="107">
        <f>[6]Mode_h_t_b0!I4</f>
        <v>5.1999999999999995E-4</v>
      </c>
      <c r="J33" s="12" t="str">
        <f>[6]Mode_h_t_b0!J4</f>
        <v>p&lt;0.001</v>
      </c>
      <c r="K33" s="106">
        <f>B33-C33</f>
        <v>80.451770184744021</v>
      </c>
      <c r="Y33" s="31"/>
    </row>
    <row r="34" spans="1:25" s="27" customFormat="1" x14ac:dyDescent="0.3">
      <c r="A34" s="9" t="str">
        <f>A28</f>
        <v>MDQ</v>
      </c>
      <c r="B34" s="13">
        <f>[6]Mode_h_t_b0!B5</f>
        <v>250.261</v>
      </c>
      <c r="C34" s="11">
        <f>[6]Mode_h_t_b0!C5</f>
        <v>169.79078240875299</v>
      </c>
      <c r="D34" s="11">
        <f>[6]Mode_h_t_b0!D5</f>
        <v>330.73051939626401</v>
      </c>
      <c r="E34" s="11">
        <f>[6]Mode_h_t_b0!E5</f>
        <v>31.146000000000001</v>
      </c>
      <c r="F34" s="12">
        <f>[6]Mode_h_t_b0!F5</f>
        <v>8.0350000000000001</v>
      </c>
      <c r="G34" s="12">
        <f>[6]Mode_h_t_b0!G5</f>
        <v>4.92</v>
      </c>
      <c r="H34" s="107">
        <f>[6]Mode_h_t_b0!H5</f>
        <v>5.1999999999999995E-4</v>
      </c>
      <c r="I34" s="107">
        <f>[6]Mode_h_t_b0!I5</f>
        <v>6.0999999999999997E-4</v>
      </c>
      <c r="J34" s="12" t="str">
        <f>[6]Mode_h_t_b0!J5</f>
        <v>p&lt;0.001</v>
      </c>
      <c r="K34" s="106">
        <f>B34-C34</f>
        <v>80.470217591247007</v>
      </c>
      <c r="Y34" s="31"/>
    </row>
    <row r="35" spans="1:25" x14ac:dyDescent="0.3">
      <c r="D35" s="105"/>
    </row>
    <row r="36" spans="1:25" ht="29.4" x14ac:dyDescent="0.3">
      <c r="A36" s="1" t="s">
        <v>12</v>
      </c>
      <c r="B36" s="3"/>
      <c r="C36" s="21"/>
      <c r="D36" s="120"/>
      <c r="E36" s="3"/>
      <c r="F36" s="3"/>
      <c r="G36" s="3"/>
      <c r="H36" s="3"/>
      <c r="I36" s="3"/>
      <c r="J36" s="3"/>
      <c r="K36" s="3"/>
    </row>
    <row r="37" spans="1:25" x14ac:dyDescent="0.3">
      <c r="A37" s="118" t="s">
        <v>0</v>
      </c>
      <c r="B37" s="109" t="s">
        <v>51</v>
      </c>
      <c r="C37" s="109" t="s">
        <v>7</v>
      </c>
      <c r="D37" s="109" t="s">
        <v>8</v>
      </c>
      <c r="E37" s="109" t="s">
        <v>5</v>
      </c>
      <c r="F37" s="109" t="s">
        <v>50</v>
      </c>
      <c r="G37" s="109" t="s">
        <v>9</v>
      </c>
      <c r="H37" s="109" t="s">
        <v>49</v>
      </c>
      <c r="I37" s="109" t="s">
        <v>48</v>
      </c>
      <c r="J37" s="109" t="s">
        <v>47</v>
      </c>
      <c r="K37" s="109" t="s">
        <v>22</v>
      </c>
    </row>
    <row r="38" spans="1:25" x14ac:dyDescent="0.3">
      <c r="A38" s="9" t="str">
        <f t="shared" ref="A38:A41" si="20">A31</f>
        <v>MDC</v>
      </c>
      <c r="B38" s="10">
        <f>[7]Mode_l_f0_b0!B2</f>
        <v>84.262</v>
      </c>
      <c r="C38" s="11">
        <f>[7]Mode_l_f0_b0!C2</f>
        <v>80.634898090073094</v>
      </c>
      <c r="D38" s="11">
        <f>[7]Mode_l_f0_b0!D2</f>
        <v>87.889521622177298</v>
      </c>
      <c r="E38" s="11">
        <f>[7]Mode_l_f0_b0!E2</f>
        <v>1.657</v>
      </c>
      <c r="F38" s="12">
        <f>[7]Mode_l_f0_b0!F2</f>
        <v>50.838000000000001</v>
      </c>
      <c r="G38" s="12">
        <f>[7]Mode_l_f0_b0!G2</f>
        <v>11.54</v>
      </c>
      <c r="H38" s="107">
        <f>[7]Mode_l_f0_b0!H2</f>
        <v>6.1999999999999998E-15</v>
      </c>
      <c r="I38" s="107">
        <f>[7]Mode_l_f0_b0!I2</f>
        <v>2.5000000000000001E-14</v>
      </c>
      <c r="J38" s="12" t="str">
        <f>[7]Mode_l_f0_b0!J2</f>
        <v>p&lt;0.0001</v>
      </c>
      <c r="K38" s="106">
        <f>B38-C38</f>
        <v>3.6271019099269068</v>
      </c>
    </row>
    <row r="39" spans="1:25" x14ac:dyDescent="0.3">
      <c r="A39" s="9" t="str">
        <f t="shared" si="20"/>
        <v>MWH</v>
      </c>
      <c r="B39" s="10">
        <f>[7]Mode_l_f0_b0!B3</f>
        <v>84.387</v>
      </c>
      <c r="C39" s="11">
        <f>[7]Mode_l_f0_b0!C3</f>
        <v>80.759157436588893</v>
      </c>
      <c r="D39" s="11">
        <f>[7]Mode_l_f0_b0!D3</f>
        <v>88.013981670640902</v>
      </c>
      <c r="E39" s="11">
        <f>[7]Mode_l_f0_b0!E3</f>
        <v>1.6579999999999999</v>
      </c>
      <c r="F39" s="12">
        <f>[7]Mode_l_f0_b0!F3</f>
        <v>50.911000000000001</v>
      </c>
      <c r="G39" s="12">
        <f>[7]Mode_l_f0_b0!G3</f>
        <v>11.54</v>
      </c>
      <c r="H39" s="107">
        <f>[7]Mode_l_f0_b0!H3</f>
        <v>5.9999999999999997E-15</v>
      </c>
      <c r="I39" s="107">
        <f>[7]Mode_l_f0_b0!I3</f>
        <v>2.5000000000000001E-14</v>
      </c>
      <c r="J39" s="12" t="str">
        <f>[7]Mode_l_f0_b0!J3</f>
        <v>p&lt;0.0001</v>
      </c>
      <c r="K39" s="106">
        <f>B39-C39</f>
        <v>3.6278425634111073</v>
      </c>
    </row>
    <row r="40" spans="1:25" x14ac:dyDescent="0.3">
      <c r="A40" s="9" t="str">
        <f t="shared" si="20"/>
        <v>MYN</v>
      </c>
      <c r="B40" s="10">
        <f>[7]Mode_l_f0_b0!B4</f>
        <v>85.884</v>
      </c>
      <c r="C40" s="11">
        <f>[7]Mode_l_f0_b0!C4</f>
        <v>82.257315012199697</v>
      </c>
      <c r="D40" s="11">
        <f>[7]Mode_l_f0_b0!D4</f>
        <v>89.509953450877504</v>
      </c>
      <c r="E40" s="11">
        <f>[7]Mode_l_f0_b0!E4</f>
        <v>1.657</v>
      </c>
      <c r="F40" s="12">
        <f>[7]Mode_l_f0_b0!F4</f>
        <v>51.843000000000004</v>
      </c>
      <c r="G40" s="12">
        <f>[7]Mode_l_f0_b0!G4</f>
        <v>11.52</v>
      </c>
      <c r="H40" s="107">
        <f>[7]Mode_l_f0_b0!H4</f>
        <v>5.2000000000000001E-15</v>
      </c>
      <c r="I40" s="107">
        <f>[7]Mode_l_f0_b0!I4</f>
        <v>2.3999999999999999E-14</v>
      </c>
      <c r="J40" s="12" t="str">
        <f>[7]Mode_l_f0_b0!J4</f>
        <v>p&lt;0.0001</v>
      </c>
      <c r="K40" s="106">
        <f>B40-C40</f>
        <v>3.6266849878003029</v>
      </c>
    </row>
    <row r="41" spans="1:25" x14ac:dyDescent="0.3">
      <c r="A41" s="9" t="str">
        <f t="shared" si="20"/>
        <v>MDQ</v>
      </c>
      <c r="B41" s="14">
        <f>[7]Mode_l_f0_b0!B5</f>
        <v>86.745000000000005</v>
      </c>
      <c r="C41" s="11">
        <f>[7]Mode_l_f0_b0!C5</f>
        <v>83.120559517265207</v>
      </c>
      <c r="D41" s="11">
        <f>[7]Mode_l_f0_b0!D5</f>
        <v>90.369299039297601</v>
      </c>
      <c r="E41" s="11">
        <f>[7]Mode_l_f0_b0!E5</f>
        <v>1.655</v>
      </c>
      <c r="F41" s="12">
        <f>[7]Mode_l_f0_b0!F5</f>
        <v>52.414000000000001</v>
      </c>
      <c r="G41" s="12">
        <f>[7]Mode_l_f0_b0!G5</f>
        <v>11.47</v>
      </c>
      <c r="H41" s="107">
        <f>[7]Mode_l_f0_b0!H5</f>
        <v>5.1E-15</v>
      </c>
      <c r="I41" s="107">
        <f>[7]Mode_l_f0_b0!I5</f>
        <v>2.3999999999999999E-14</v>
      </c>
      <c r="J41" s="12" t="str">
        <f>[7]Mode_l_f0_b0!J5</f>
        <v>p&lt;0.0001</v>
      </c>
      <c r="K41" s="106">
        <f>B41-C41</f>
        <v>3.6244404827347978</v>
      </c>
    </row>
    <row r="42" spans="1:25" ht="29.4" x14ac:dyDescent="0.3">
      <c r="A42" s="1" t="s">
        <v>13</v>
      </c>
      <c r="B42" s="21"/>
      <c r="C42" s="1"/>
      <c r="D42" s="111"/>
      <c r="E42" s="3"/>
      <c r="F42" s="3"/>
      <c r="G42" s="3"/>
      <c r="H42" s="3"/>
      <c r="I42" s="3"/>
      <c r="J42" s="3"/>
      <c r="K42" s="3"/>
    </row>
    <row r="43" spans="1:25" x14ac:dyDescent="0.3">
      <c r="A43" s="2" t="s">
        <v>0</v>
      </c>
      <c r="B43" s="25" t="s">
        <v>51</v>
      </c>
      <c r="C43" s="24" t="s">
        <v>7</v>
      </c>
      <c r="D43" s="24" t="s">
        <v>8</v>
      </c>
      <c r="E43" s="24" t="s">
        <v>5</v>
      </c>
      <c r="F43" s="109" t="s">
        <v>50</v>
      </c>
      <c r="G43" s="109" t="s">
        <v>9</v>
      </c>
      <c r="H43" s="109" t="s">
        <v>49</v>
      </c>
      <c r="I43" s="109" t="s">
        <v>48</v>
      </c>
      <c r="J43" s="109" t="s">
        <v>47</v>
      </c>
      <c r="K43" s="4" t="s">
        <v>22</v>
      </c>
    </row>
    <row r="44" spans="1:25" x14ac:dyDescent="0.3">
      <c r="A44" s="9" t="str">
        <f>A25</f>
        <v>MDC</v>
      </c>
      <c r="B44" s="10">
        <f>[8]Mode_h_f0_b0!B2</f>
        <v>90.093999999999994</v>
      </c>
      <c r="C44" s="11">
        <f>[8]Mode_h_f0_b0!C2</f>
        <v>86.076363660855506</v>
      </c>
      <c r="D44" s="11">
        <f>[8]Mode_h_f0_b0!D2</f>
        <v>94.112041878367805</v>
      </c>
      <c r="E44" s="11">
        <f>[8]Mode_h_f0_b0!E2</f>
        <v>1.78</v>
      </c>
      <c r="F44" s="12">
        <f>[8]Mode_h_f0_b0!F2</f>
        <v>50.613</v>
      </c>
      <c r="G44" s="12">
        <f>[8]Mode_h_f0_b0!G2</f>
        <v>9.1300000000000008</v>
      </c>
      <c r="H44" s="107">
        <f>[8]Mode_h_f0_b0!H2</f>
        <v>1.7E-12</v>
      </c>
      <c r="I44" s="107">
        <f>[8]Mode_h_f0_b0!I2</f>
        <v>3.4000000000000001E-12</v>
      </c>
      <c r="J44" s="12" t="str">
        <f>[8]Mode_h_f0_b0!J2</f>
        <v>p&lt;0.0001</v>
      </c>
      <c r="K44" s="106">
        <f>B44-C44</f>
        <v>4.017636339144488</v>
      </c>
    </row>
    <row r="45" spans="1:25" x14ac:dyDescent="0.3">
      <c r="A45" s="9" t="str">
        <f>A26</f>
        <v>MWH</v>
      </c>
      <c r="B45" s="10">
        <f>[8]Mode_h_f0_b0!B3</f>
        <v>90.501000000000005</v>
      </c>
      <c r="C45" s="11">
        <f>[8]Mode_h_f0_b0!C3</f>
        <v>86.482542607305106</v>
      </c>
      <c r="D45" s="11">
        <f>[8]Mode_h_f0_b0!D3</f>
        <v>94.518498929950795</v>
      </c>
      <c r="E45" s="11">
        <f>[8]Mode_h_f0_b0!E3</f>
        <v>1.78</v>
      </c>
      <c r="F45" s="12">
        <f>[8]Mode_h_f0_b0!F3</f>
        <v>50.837000000000003</v>
      </c>
      <c r="G45" s="12">
        <f>[8]Mode_h_f0_b0!G3</f>
        <v>9.14</v>
      </c>
      <c r="H45" s="107">
        <f>[8]Mode_h_f0_b0!H3</f>
        <v>1.6E-12</v>
      </c>
      <c r="I45" s="107">
        <f>[8]Mode_h_f0_b0!I3</f>
        <v>3.3000000000000001E-12</v>
      </c>
      <c r="J45" s="12" t="str">
        <f>[8]Mode_h_f0_b0!J3</f>
        <v>p&lt;0.0001</v>
      </c>
      <c r="K45" s="106">
        <f>B45-C45</f>
        <v>4.0184573926948985</v>
      </c>
    </row>
    <row r="46" spans="1:25" x14ac:dyDescent="0.3">
      <c r="A46" s="9" t="str">
        <f>A27</f>
        <v>MYN</v>
      </c>
      <c r="B46" s="10">
        <f>[8]Mode_h_f0_b0!B4</f>
        <v>91.813000000000002</v>
      </c>
      <c r="C46" s="11">
        <f>[8]Mode_h_f0_b0!C4</f>
        <v>87.796729947601094</v>
      </c>
      <c r="D46" s="11">
        <f>[8]Mode_h_f0_b0!D4</f>
        <v>95.829644685119007</v>
      </c>
      <c r="E46" s="11">
        <f>[8]Mode_h_f0_b0!E4</f>
        <v>1.7789999999999999</v>
      </c>
      <c r="F46" s="12">
        <f>[8]Mode_h_f0_b0!F4</f>
        <v>51.621000000000002</v>
      </c>
      <c r="G46" s="12">
        <f>[8]Mode_h_f0_b0!G4</f>
        <v>9.1</v>
      </c>
      <c r="H46" s="107">
        <f>[8]Mode_h_f0_b0!H4</f>
        <v>1.5000000000000001E-12</v>
      </c>
      <c r="I46" s="107">
        <f>[8]Mode_h_f0_b0!I4</f>
        <v>3.2000000000000001E-12</v>
      </c>
      <c r="J46" s="12" t="str">
        <f>[8]Mode_h_f0_b0!J4</f>
        <v>p&lt;0.0001</v>
      </c>
      <c r="K46" s="106">
        <f>B46-C46</f>
        <v>4.0162700523989088</v>
      </c>
    </row>
    <row r="47" spans="1:25" x14ac:dyDescent="0.3">
      <c r="A47" s="9" t="str">
        <f>A28</f>
        <v>MDQ</v>
      </c>
      <c r="B47" s="14">
        <f>[8]Mode_h_f0_b0!B5</f>
        <v>94.606999999999999</v>
      </c>
      <c r="C47" s="11">
        <f>[8]Mode_h_f0_b0!C5</f>
        <v>90.593224015084004</v>
      </c>
      <c r="D47" s="11">
        <f>[8]Mode_h_f0_b0!D5</f>
        <v>98.620264099471996</v>
      </c>
      <c r="E47" s="11">
        <f>[8]Mode_h_f0_b0!E5</f>
        <v>1.776</v>
      </c>
      <c r="F47" s="12">
        <f>[8]Mode_h_f0_b0!F5</f>
        <v>53.283999999999999</v>
      </c>
      <c r="G47" s="12">
        <f>[8]Mode_h_f0_b0!G5</f>
        <v>9.0399999999999991</v>
      </c>
      <c r="H47" s="107">
        <f>[8]Mode_h_f0_b0!H5</f>
        <v>1.2999999999999999E-12</v>
      </c>
      <c r="I47" s="107">
        <f>[8]Mode_h_f0_b0!I5</f>
        <v>2.9000000000000002E-12</v>
      </c>
      <c r="J47" s="12" t="str">
        <f>[8]Mode_h_f0_b0!J5</f>
        <v>p&lt;0.0001</v>
      </c>
      <c r="K47" s="106">
        <f>B47-C47</f>
        <v>4.0137759849159949</v>
      </c>
    </row>
  </sheetData>
  <mergeCells count="2">
    <mergeCell ref="A1:J1"/>
    <mergeCell ref="L1:N1"/>
  </mergeCells>
  <conditionalFormatting sqref="K44:K47 K38:K41">
    <cfRule type="cellIs" dxfId="247" priority="83" operator="lessThan">
      <formula>0.05</formula>
    </cfRule>
  </conditionalFormatting>
  <conditionalFormatting sqref="H3:I6">
    <cfRule type="cellIs" dxfId="246" priority="79" stopIfTrue="1" operator="lessThan">
      <formula>0.0001</formula>
    </cfRule>
    <cfRule type="cellIs" dxfId="245" priority="80" stopIfTrue="1" operator="lessThan">
      <formula>0.001</formula>
    </cfRule>
    <cfRule type="cellIs" dxfId="244" priority="81" stopIfTrue="1" operator="lessThan">
      <formula>0.05</formula>
    </cfRule>
    <cfRule type="cellIs" dxfId="243" priority="82" stopIfTrue="1" operator="lessThan">
      <formula>0.1</formula>
    </cfRule>
  </conditionalFormatting>
  <conditionalFormatting sqref="J3:J6">
    <cfRule type="containsText" dxfId="242" priority="74" stopIfTrue="1" operator="containsText" text="p&lt;0.0001">
      <formula>NOT(ISERROR(SEARCH("p&lt;0.0001",J3)))</formula>
    </cfRule>
    <cfRule type="containsText" dxfId="241" priority="75" stopIfTrue="1" operator="containsText" text="p&lt;0.001">
      <formula>NOT(ISERROR(SEARCH("p&lt;0.001",J3)))</formula>
    </cfRule>
    <cfRule type="containsText" dxfId="240" priority="76" stopIfTrue="1" operator="containsText" text="p&lt;0.01">
      <formula>NOT(ISERROR(SEARCH("p&lt;0.01",J3)))</formula>
    </cfRule>
    <cfRule type="containsText" dxfId="239" priority="77" stopIfTrue="1" operator="containsText" text="p&lt;0.05">
      <formula>NOT(ISERROR(SEARCH("p&lt;0.05",J3)))</formula>
    </cfRule>
    <cfRule type="containsText" dxfId="238" priority="78" stopIfTrue="1" operator="containsText" text="p&lt;0.1">
      <formula>NOT(ISERROR(SEARCH("p&lt;0.1",J3)))</formula>
    </cfRule>
  </conditionalFormatting>
  <conditionalFormatting sqref="H8:I10">
    <cfRule type="cellIs" dxfId="237" priority="70" stopIfTrue="1" operator="lessThan">
      <formula>0.0001</formula>
    </cfRule>
    <cfRule type="cellIs" dxfId="236" priority="71" stopIfTrue="1" operator="lessThan">
      <formula>0.001</formula>
    </cfRule>
    <cfRule type="cellIs" dxfId="235" priority="72" stopIfTrue="1" operator="lessThan">
      <formula>0.05</formula>
    </cfRule>
    <cfRule type="cellIs" dxfId="234" priority="73" stopIfTrue="1" operator="lessThan">
      <formula>0.1</formula>
    </cfRule>
  </conditionalFormatting>
  <conditionalFormatting sqref="J8:J10">
    <cfRule type="containsText" dxfId="233" priority="65" stopIfTrue="1" operator="containsText" text="p&lt;0.0001">
      <formula>NOT(ISERROR(SEARCH("p&lt;0.0001",J8)))</formula>
    </cfRule>
    <cfRule type="containsText" dxfId="232" priority="66" stopIfTrue="1" operator="containsText" text="p&lt;0.001">
      <formula>NOT(ISERROR(SEARCH("p&lt;0.001",J8)))</formula>
    </cfRule>
    <cfRule type="containsText" dxfId="231" priority="67" stopIfTrue="1" operator="containsText" text="p&lt;0.01">
      <formula>NOT(ISERROR(SEARCH("p&lt;0.01",J8)))</formula>
    </cfRule>
    <cfRule type="containsText" dxfId="230" priority="68" stopIfTrue="1" operator="containsText" text="p&lt;0.05">
      <formula>NOT(ISERROR(SEARCH("p&lt;0.05",J8)))</formula>
    </cfRule>
    <cfRule type="containsText" dxfId="229" priority="69" stopIfTrue="1" operator="containsText" text="p&lt;0.1">
      <formula>NOT(ISERROR(SEARCH("p&lt;0.1",J8)))</formula>
    </cfRule>
  </conditionalFormatting>
  <conditionalFormatting sqref="H13:I15">
    <cfRule type="cellIs" dxfId="228" priority="61" stopIfTrue="1" operator="lessThan">
      <formula>0.0001</formula>
    </cfRule>
    <cfRule type="cellIs" dxfId="227" priority="62" stopIfTrue="1" operator="lessThan">
      <formula>0.001</formula>
    </cfRule>
    <cfRule type="cellIs" dxfId="226" priority="63" stopIfTrue="1" operator="lessThan">
      <formula>0.05</formula>
    </cfRule>
    <cfRule type="cellIs" dxfId="225" priority="64" stopIfTrue="1" operator="lessThan">
      <formula>0.1</formula>
    </cfRule>
  </conditionalFormatting>
  <conditionalFormatting sqref="J13:J15">
    <cfRule type="containsText" dxfId="224" priority="56" stopIfTrue="1" operator="containsText" text="p&lt;0.0001">
      <formula>NOT(ISERROR(SEARCH("p&lt;0.0001",J13)))</formula>
    </cfRule>
    <cfRule type="containsText" dxfId="223" priority="57" stopIfTrue="1" operator="containsText" text="p&lt;0.001">
      <formula>NOT(ISERROR(SEARCH("p&lt;0.001",J13)))</formula>
    </cfRule>
    <cfRule type="containsText" dxfId="222" priority="58" stopIfTrue="1" operator="containsText" text="p&lt;0.01">
      <formula>NOT(ISERROR(SEARCH("p&lt;0.01",J13)))</formula>
    </cfRule>
    <cfRule type="containsText" dxfId="221" priority="59" stopIfTrue="1" operator="containsText" text="p&lt;0.05">
      <formula>NOT(ISERROR(SEARCH("p&lt;0.05",J13)))</formula>
    </cfRule>
    <cfRule type="containsText" dxfId="220" priority="60" stopIfTrue="1" operator="containsText" text="p&lt;0.1">
      <formula>NOT(ISERROR(SEARCH("p&lt;0.1",J13)))</formula>
    </cfRule>
  </conditionalFormatting>
  <conditionalFormatting sqref="H18:I19 H21:I21">
    <cfRule type="cellIs" dxfId="219" priority="52" stopIfTrue="1" operator="lessThan">
      <formula>0.0001</formula>
    </cfRule>
    <cfRule type="cellIs" dxfId="218" priority="53" stopIfTrue="1" operator="lessThan">
      <formula>0.001</formula>
    </cfRule>
    <cfRule type="cellIs" dxfId="217" priority="54" stopIfTrue="1" operator="lessThan">
      <formula>0.05</formula>
    </cfRule>
    <cfRule type="cellIs" dxfId="216" priority="55" stopIfTrue="1" operator="lessThan">
      <formula>0.1</formula>
    </cfRule>
  </conditionalFormatting>
  <conditionalFormatting sqref="J18:J19 J21">
    <cfRule type="containsText" dxfId="215" priority="47" stopIfTrue="1" operator="containsText" text="p&lt;0.0001">
      <formula>NOT(ISERROR(SEARCH("p&lt;0.0001",J18)))</formula>
    </cfRule>
    <cfRule type="containsText" dxfId="214" priority="48" stopIfTrue="1" operator="containsText" text="p&lt;0.001">
      <formula>NOT(ISERROR(SEARCH("p&lt;0.001",J18)))</formula>
    </cfRule>
    <cfRule type="containsText" dxfId="213" priority="49" stopIfTrue="1" operator="containsText" text="p&lt;0.01">
      <formula>NOT(ISERROR(SEARCH("p&lt;0.01",J18)))</formula>
    </cfRule>
    <cfRule type="containsText" dxfId="212" priority="50" stopIfTrue="1" operator="containsText" text="p&lt;0.05">
      <formula>NOT(ISERROR(SEARCH("p&lt;0.05",J18)))</formula>
    </cfRule>
    <cfRule type="containsText" dxfId="211" priority="51" stopIfTrue="1" operator="containsText" text="p&lt;0.1">
      <formula>NOT(ISERROR(SEARCH("p&lt;0.1",J18)))</formula>
    </cfRule>
  </conditionalFormatting>
  <conditionalFormatting sqref="H11:I11">
    <cfRule type="cellIs" dxfId="210" priority="25" stopIfTrue="1" operator="lessThan">
      <formula>0.0001</formula>
    </cfRule>
    <cfRule type="cellIs" dxfId="209" priority="26" stopIfTrue="1" operator="lessThan">
      <formula>0.001</formula>
    </cfRule>
    <cfRule type="cellIs" dxfId="208" priority="27" stopIfTrue="1" operator="lessThan">
      <formula>0.05</formula>
    </cfRule>
    <cfRule type="cellIs" dxfId="207" priority="28" stopIfTrue="1" operator="lessThan">
      <formula>0.1</formula>
    </cfRule>
  </conditionalFormatting>
  <conditionalFormatting sqref="J11">
    <cfRule type="containsText" dxfId="206" priority="20" stopIfTrue="1" operator="containsText" text="p&lt;0.0001">
      <formula>NOT(ISERROR(SEARCH("p&lt;0.0001",J11)))</formula>
    </cfRule>
    <cfRule type="containsText" dxfId="205" priority="21" stopIfTrue="1" operator="containsText" text="p&lt;0.001">
      <formula>NOT(ISERROR(SEARCH("p&lt;0.001",J11)))</formula>
    </cfRule>
    <cfRule type="containsText" dxfId="204" priority="22" stopIfTrue="1" operator="containsText" text="p&lt;0.01">
      <formula>NOT(ISERROR(SEARCH("p&lt;0.01",J11)))</formula>
    </cfRule>
    <cfRule type="containsText" dxfId="203" priority="23" stopIfTrue="1" operator="containsText" text="p&lt;0.05">
      <formula>NOT(ISERROR(SEARCH("p&lt;0.05",J11)))</formula>
    </cfRule>
    <cfRule type="containsText" dxfId="202" priority="24" stopIfTrue="1" operator="containsText" text="p&lt;0.1">
      <formula>NOT(ISERROR(SEARCH("p&lt;0.1",J11)))</formula>
    </cfRule>
  </conditionalFormatting>
  <conditionalFormatting sqref="H16:I16">
    <cfRule type="cellIs" dxfId="201" priority="16" stopIfTrue="1" operator="lessThan">
      <formula>0.0001</formula>
    </cfRule>
    <cfRule type="cellIs" dxfId="200" priority="17" stopIfTrue="1" operator="lessThan">
      <formula>0.001</formula>
    </cfRule>
    <cfRule type="cellIs" dxfId="199" priority="18" stopIfTrue="1" operator="lessThan">
      <formula>0.05</formula>
    </cfRule>
    <cfRule type="cellIs" dxfId="198" priority="19" stopIfTrue="1" operator="lessThan">
      <formula>0.1</formula>
    </cfRule>
  </conditionalFormatting>
  <conditionalFormatting sqref="J16">
    <cfRule type="containsText" dxfId="197" priority="11" stopIfTrue="1" operator="containsText" text="p&lt;0.0001">
      <formula>NOT(ISERROR(SEARCH("p&lt;0.0001",J16)))</formula>
    </cfRule>
    <cfRule type="containsText" dxfId="196" priority="12" stopIfTrue="1" operator="containsText" text="p&lt;0.001">
      <formula>NOT(ISERROR(SEARCH("p&lt;0.001",J16)))</formula>
    </cfRule>
    <cfRule type="containsText" dxfId="195" priority="13" stopIfTrue="1" operator="containsText" text="p&lt;0.01">
      <formula>NOT(ISERROR(SEARCH("p&lt;0.01",J16)))</formula>
    </cfRule>
    <cfRule type="containsText" dxfId="194" priority="14" stopIfTrue="1" operator="containsText" text="p&lt;0.05">
      <formula>NOT(ISERROR(SEARCH("p&lt;0.05",J16)))</formula>
    </cfRule>
    <cfRule type="containsText" dxfId="193" priority="15" stopIfTrue="1" operator="containsText" text="p&lt;0.1">
      <formula>NOT(ISERROR(SEARCH("p&lt;0.1",J16)))</formula>
    </cfRule>
  </conditionalFormatting>
  <conditionalFormatting sqref="H20:I20">
    <cfRule type="cellIs" dxfId="192" priority="7" stopIfTrue="1" operator="lessThan">
      <formula>0.0001</formula>
    </cfRule>
    <cfRule type="cellIs" dxfId="191" priority="8" stopIfTrue="1" operator="lessThan">
      <formula>0.001</formula>
    </cfRule>
    <cfRule type="cellIs" dxfId="190" priority="9" stopIfTrue="1" operator="lessThan">
      <formula>0.05</formula>
    </cfRule>
    <cfRule type="cellIs" dxfId="189" priority="10" stopIfTrue="1" operator="lessThan">
      <formula>0.1</formula>
    </cfRule>
  </conditionalFormatting>
  <conditionalFormatting sqref="J20">
    <cfRule type="containsText" dxfId="188" priority="2" stopIfTrue="1" operator="containsText" text="p&lt;0.0001">
      <formula>NOT(ISERROR(SEARCH("p&lt;0.0001",J20)))</formula>
    </cfRule>
    <cfRule type="containsText" dxfId="187" priority="3" stopIfTrue="1" operator="containsText" text="p&lt;0.001">
      <formula>NOT(ISERROR(SEARCH("p&lt;0.001",J20)))</formula>
    </cfRule>
    <cfRule type="containsText" dxfId="186" priority="4" stopIfTrue="1" operator="containsText" text="p&lt;0.01">
      <formula>NOT(ISERROR(SEARCH("p&lt;0.01",J20)))</formula>
    </cfRule>
    <cfRule type="containsText" dxfId="185" priority="5" stopIfTrue="1" operator="containsText" text="p&lt;0.05">
      <formula>NOT(ISERROR(SEARCH("p&lt;0.05",J20)))</formula>
    </cfRule>
    <cfRule type="containsText" dxfId="184" priority="6" stopIfTrue="1" operator="containsText" text="p&lt;0.1">
      <formula>NOT(ISERROR(SEARCH("p&lt;0.1",J20)))</formula>
    </cfRule>
  </conditionalFormatting>
  <pageMargins left="0.7" right="0.7" top="0.75" bottom="0.75" header="0.3" footer="0.3"/>
  <pageSetup paperSize="9" scale="78" orientation="portrait" r:id="rId1"/>
  <colBreaks count="1" manualBreakCount="1">
    <brk id="10" max="1048575" man="1"/>
  </colBreaks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450A-9D5C-4D87-9768-FC80F4A30F91}">
  <dimension ref="C1:T69"/>
  <sheetViews>
    <sheetView zoomScale="55" zoomScaleNormal="55" workbookViewId="0"/>
  </sheetViews>
  <sheetFormatPr defaultRowHeight="14.4" x14ac:dyDescent="0.3"/>
  <cols>
    <col min="4" max="4" width="10.33203125" customWidth="1"/>
    <col min="27" max="27" width="10.33203125" customWidth="1"/>
    <col min="28" max="29" width="5.6640625" customWidth="1"/>
  </cols>
  <sheetData>
    <row r="1" spans="12:20" ht="15" customHeight="1" thickBot="1" x14ac:dyDescent="0.35">
      <c r="L1" s="230" t="s">
        <v>97</v>
      </c>
      <c r="M1" s="263" t="s">
        <v>103</v>
      </c>
      <c r="N1" s="263"/>
      <c r="O1" s="230"/>
      <c r="P1" s="262" t="s">
        <v>104</v>
      </c>
      <c r="Q1" s="262"/>
      <c r="R1" s="230"/>
      <c r="S1" s="262" t="s">
        <v>94</v>
      </c>
      <c r="T1" s="262"/>
    </row>
    <row r="2" spans="12:20" ht="15.6" thickTop="1" thickBot="1" x14ac:dyDescent="0.35">
      <c r="L2" s="218"/>
      <c r="M2" s="218" t="s">
        <v>86</v>
      </c>
      <c r="N2" s="216" t="s">
        <v>117</v>
      </c>
      <c r="O2" s="218"/>
      <c r="P2" s="218" t="s">
        <v>86</v>
      </c>
      <c r="Q2" s="216" t="s">
        <v>117</v>
      </c>
      <c r="R2" s="218"/>
      <c r="S2" s="218" t="s">
        <v>86</v>
      </c>
      <c r="T2" s="216" t="s">
        <v>117</v>
      </c>
    </row>
    <row r="3" spans="12:20" ht="15.6" thickTop="1" thickBot="1" x14ac:dyDescent="0.35">
      <c r="L3" s="213" t="s">
        <v>28</v>
      </c>
      <c r="M3" s="221">
        <f>AVERAGE('mode B1'!B3,'mode B1'!B8,'mode B1'!B13,'mode B1'!B18,'mode B1'!B23,'mode B1'!B28)</f>
        <v>1.4906666666666668</v>
      </c>
      <c r="N3" s="221">
        <f>_xlfn.STDEV.S('mode B1'!B3,'mode B1'!B8,'mode B1'!B13,'mode B1'!B18,'mode B1'!B23,'mode B1'!B28)</f>
        <v>0.89646832998531856</v>
      </c>
      <c r="O3" s="221"/>
      <c r="P3" s="221">
        <f>AVERAGE('mode RTH B1'!B3,'mode RTH B1'!B8,'mode RTH B1'!B13,'mode RTH B1'!B18,'mode RTH B1'!B23,'mode RTH B1'!B28)</f>
        <v>0.70466666666666677</v>
      </c>
      <c r="Q3" s="221">
        <f>_xlfn.STDEV.S('mode RTH B1'!B3,'mode RTH B1'!B8,'mode RTH B1'!B13,'mode RTH B1'!B18,'mode RTH B1'!B23,'mode RTH B1'!B28)</f>
        <v>0.57876235767944195</v>
      </c>
      <c r="R3" s="221"/>
      <c r="S3" s="221">
        <f>P3-M3</f>
        <v>-0.78600000000000003</v>
      </c>
      <c r="T3" s="221">
        <f>Q3-N3</f>
        <v>-0.3177059723058766</v>
      </c>
    </row>
    <row r="4" spans="12:20" x14ac:dyDescent="0.3">
      <c r="L4" s="214" t="s">
        <v>29</v>
      </c>
      <c r="M4" s="222">
        <f>AVERAGE('mode B1'!B4,'mode B1'!B9,'mode B1'!B14,'mode B1'!B19,'mode B1'!B24,'mode B1'!B29)</f>
        <v>2.4751666666666665</v>
      </c>
      <c r="N4" s="222">
        <f>_xlfn.STDEV.S('mode B1'!B4,'mode B1'!B9,'mode B1'!B14,'mode B1'!B19,'mode B1'!B24,'mode B1'!B29)</f>
        <v>1.6197473156843532</v>
      </c>
      <c r="O4" s="222"/>
      <c r="P4" s="222">
        <f>AVERAGE('mode RTH B1'!B4,'mode RTH B1'!B9,'mode RTH B1'!B14,'mode RTH B1'!B19,'mode RTH B1'!B24,'mode RTH B1'!B29)</f>
        <v>1.2686666666666666</v>
      </c>
      <c r="Q4" s="222">
        <f>_xlfn.STDEV.S('mode RTH B1'!B4,'mode RTH B1'!B9,'mode RTH B1'!B14,'mode RTH B1'!B19,'mode RTH B1'!B24,'mode RTH B1'!B29)</f>
        <v>0.70785780116254027</v>
      </c>
      <c r="R4" s="222"/>
      <c r="S4" s="222">
        <f>P4-M4</f>
        <v>-1.2064999999999999</v>
      </c>
      <c r="T4" s="222">
        <f>Q4-N4</f>
        <v>-0.91188951452181288</v>
      </c>
    </row>
    <row r="24" spans="14:14" x14ac:dyDescent="0.3">
      <c r="N24" s="162"/>
    </row>
    <row r="41" spans="3:5" x14ac:dyDescent="0.3">
      <c r="C41" s="164"/>
      <c r="D41" s="164"/>
      <c r="E41" s="165"/>
    </row>
    <row r="42" spans="3:5" ht="15" customHeight="1" x14ac:dyDescent="0.3"/>
    <row r="43" spans="3:5" ht="15.6" customHeight="1" x14ac:dyDescent="0.3"/>
    <row r="46" spans="3:5" ht="15.6" customHeight="1" x14ac:dyDescent="0.3"/>
    <row r="47" spans="3:5" ht="15" customHeight="1" x14ac:dyDescent="0.3"/>
    <row r="58" spans="3:11" x14ac:dyDescent="0.3">
      <c r="C58" s="224"/>
      <c r="D58" s="223"/>
      <c r="E58" s="223"/>
      <c r="F58" s="223"/>
      <c r="G58" s="223"/>
      <c r="H58" s="223"/>
      <c r="I58" s="223"/>
      <c r="J58" s="223"/>
      <c r="K58" s="223"/>
    </row>
    <row r="64" spans="3:11" ht="24.6" thickBot="1" x14ac:dyDescent="0.45">
      <c r="C64" s="261" t="s">
        <v>100</v>
      </c>
      <c r="D64" s="261"/>
      <c r="E64" s="261"/>
      <c r="G64" t="s">
        <v>101</v>
      </c>
    </row>
    <row r="65" spans="3:8" ht="27.6" thickTop="1" thickBot="1" x14ac:dyDescent="0.35">
      <c r="C65" s="39" t="s">
        <v>66</v>
      </c>
      <c r="D65" s="39" t="s">
        <v>67</v>
      </c>
      <c r="E65" s="39" t="s">
        <v>68</v>
      </c>
    </row>
    <row r="66" spans="3:8" ht="16.8" thickTop="1" thickBot="1" x14ac:dyDescent="0.35">
      <c r="C66" s="167" t="s">
        <v>41</v>
      </c>
      <c r="D66" s="168">
        <f>'mode RTH B0'!M3-'mode B0'!M3</f>
        <v>1.8321280630064003E-2</v>
      </c>
      <c r="E66" s="168">
        <f>'mode RTH B0'!N3-'mode B0'!N3</f>
        <v>2.2934863227380031E-2</v>
      </c>
      <c r="G66" s="163">
        <f>'mode RTH B0'!M3/'mode B0'!M3-1</f>
        <v>0.47771799400178261</v>
      </c>
      <c r="H66" s="163">
        <f>'mode RTH B0'!N3/'mode B0'!N3-1</f>
        <v>2.4714529383214945E-2</v>
      </c>
    </row>
    <row r="67" spans="3:8" ht="16.2" thickBot="1" x14ac:dyDescent="0.35">
      <c r="C67" s="170" t="s">
        <v>42</v>
      </c>
      <c r="D67" s="171">
        <f>'mode RTH B0'!M4-'mode B0'!M4</f>
        <v>2.36935084244463E-2</v>
      </c>
      <c r="E67" s="171">
        <f>'mode RTH B0'!N4-'mode B0'!N4</f>
        <v>3.0883248180135991E-2</v>
      </c>
      <c r="G67" s="163">
        <f>'mode RTH B0'!M4/'mode B0'!M4-1</f>
        <v>0.2484956226806716</v>
      </c>
      <c r="H67" s="163">
        <f>'mode RTH B0'!N4/'mode B0'!N4-1</f>
        <v>3.5192533276442894E-2</v>
      </c>
    </row>
    <row r="68" spans="3:8" ht="15" thickBot="1" x14ac:dyDescent="0.35">
      <c r="C68" s="173" t="s">
        <v>4</v>
      </c>
      <c r="D68" s="168">
        <f>'mode RTH B0'!M5-'mode B0'!M5</f>
        <v>1.7513095508892094E-2</v>
      </c>
      <c r="E68" s="168">
        <f>'mode RTH B0'!N5-'mode B0'!N5</f>
        <v>-1.5787845627699415E-3</v>
      </c>
      <c r="G68" s="163">
        <f>'mode RTH B0'!M5/'mode B0'!M5-1</f>
        <v>0.32070392565771999</v>
      </c>
      <c r="H68" s="163">
        <f>'mode RTH B0'!N5/'mode B0'!N5-1</f>
        <v>-2.0374643827402172E-3</v>
      </c>
    </row>
    <row r="69" spans="3:8" x14ac:dyDescent="0.3">
      <c r="C69" s="174" t="s">
        <v>3</v>
      </c>
      <c r="D69" s="176">
        <f>'mode RTH B0'!M6-'mode B0'!M6</f>
        <v>1.1852583359196471E-2</v>
      </c>
      <c r="E69" s="176">
        <f>'mode RTH B0'!N6-'mode B0'!N6</f>
        <v>3.3210112503301303E-4</v>
      </c>
      <c r="G69" s="163">
        <f>'mode RTH B0'!M6/'mode B0'!M6-1</f>
        <v>1.2055766720077745</v>
      </c>
      <c r="H69" s="163">
        <f>'mode RTH B0'!N6/'mode B0'!N6-1</f>
        <v>3.8866584866137366E-4</v>
      </c>
    </row>
  </sheetData>
  <mergeCells count="4">
    <mergeCell ref="S1:T1"/>
    <mergeCell ref="P1:Q1"/>
    <mergeCell ref="M1:N1"/>
    <mergeCell ref="C64:E6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9DD6-744B-4410-A500-780A8966E9D8}">
  <dimension ref="A1:M33"/>
  <sheetViews>
    <sheetView showGridLines="0" zoomScale="85" zoomScaleNormal="85" workbookViewId="0">
      <selection activeCell="Z11" sqref="Z11"/>
    </sheetView>
  </sheetViews>
  <sheetFormatPr defaultColWidth="8.88671875" defaultRowHeight="14.4" x14ac:dyDescent="0.3"/>
  <cols>
    <col min="1" max="1" width="14" style="122" bestFit="1" customWidth="1"/>
    <col min="2" max="3" width="11.33203125" style="122" bestFit="1" customWidth="1"/>
    <col min="4" max="4" width="9.6640625" style="122" bestFit="1" customWidth="1"/>
    <col min="5" max="5" width="10.6640625" style="121" bestFit="1" customWidth="1"/>
    <col min="6" max="6" width="9.6640625" style="121" bestFit="1" customWidth="1"/>
    <col min="7" max="7" width="10.109375" style="121" customWidth="1"/>
    <col min="8" max="8" width="12.88671875" style="273" customWidth="1"/>
    <col min="9" max="9" width="13.33203125" style="273" customWidth="1"/>
    <col min="10" max="10" width="14" style="121" customWidth="1"/>
    <col min="11" max="11" width="3.33203125" style="121" customWidth="1"/>
    <col min="12" max="15" width="8.88671875" style="121"/>
    <col min="16" max="16" width="2.88671875" style="121" customWidth="1"/>
    <col min="17" max="17" width="12" style="121" customWidth="1"/>
    <col min="18" max="18" width="3.88671875" style="121" customWidth="1"/>
    <col min="19" max="16384" width="8.88671875" style="121"/>
  </cols>
  <sheetData>
    <row r="1" spans="1:13" s="134" customFormat="1" ht="30" thickBot="1" x14ac:dyDescent="0.35">
      <c r="A1" s="136" t="s">
        <v>55</v>
      </c>
      <c r="B1" s="143"/>
      <c r="C1" s="135"/>
      <c r="D1" s="143"/>
      <c r="E1" s="143"/>
      <c r="F1" s="142"/>
      <c r="G1" s="142"/>
      <c r="H1" s="267"/>
      <c r="I1" s="267"/>
    </row>
    <row r="2" spans="1:13" ht="25.2" customHeight="1" thickTop="1" thickBot="1" x14ac:dyDescent="0.35">
      <c r="A2" s="132" t="s">
        <v>53</v>
      </c>
      <c r="B2" s="132" t="str">
        <f>[25]utt_f0_b0!B1</f>
        <v>estimate</v>
      </c>
      <c r="C2" s="132" t="str">
        <f>[25]utt_f0_b0!C1</f>
        <v>conf.low</v>
      </c>
      <c r="D2" s="132" t="str">
        <f>[25]utt_f0_b0!D1</f>
        <v>conf.high</v>
      </c>
      <c r="E2" s="132" t="str">
        <f>[25]utt_f0_b0!E1</f>
        <v>std.error</v>
      </c>
      <c r="F2" s="132" t="str">
        <f>[25]utt_f0_b0!F1</f>
        <v>t.value</v>
      </c>
      <c r="G2" s="132" t="str">
        <f>[25]utt_f0_b0!G1</f>
        <v>df</v>
      </c>
      <c r="H2" s="274" t="str">
        <f>[25]utt_f0_b0!H1</f>
        <v>p.value</v>
      </c>
      <c r="I2" s="268" t="str">
        <f>[25]utt_f0_b0!J1</f>
        <v>signif.</v>
      </c>
      <c r="J2" s="132" t="s">
        <v>77</v>
      </c>
      <c r="L2" s="132" t="s">
        <v>57</v>
      </c>
      <c r="M2" s="132" t="s">
        <v>56</v>
      </c>
    </row>
    <row r="3" spans="1:13" s="137" customFormat="1" ht="33.6" customHeight="1" thickTop="1" thickBot="1" x14ac:dyDescent="0.35">
      <c r="A3" s="131" t="s">
        <v>14</v>
      </c>
      <c r="B3" s="131">
        <f>[35]utt_f0_mode_only_b0!B2</f>
        <v>-0.52353979027253095</v>
      </c>
      <c r="C3" s="131">
        <f>[35]utt_f0_mode_only_b0!C2</f>
        <v>-0.875233769253009</v>
      </c>
      <c r="D3" s="131">
        <f>[35]utt_f0_mode_only_b0!D2</f>
        <v>-0.17184581129205301</v>
      </c>
      <c r="E3" s="129">
        <f>[35]utt_f0_mode_only_b0!E2</f>
        <v>0.15901510122401699</v>
      </c>
      <c r="F3" s="129">
        <f>[35]utt_f0_mode_only_b0!F2</f>
        <v>-3.29239038457724</v>
      </c>
      <c r="G3" s="129">
        <f>[35]utt_f0_mode_only_b0!G2</f>
        <v>10.579647998862701</v>
      </c>
      <c r="H3" s="275">
        <f>[35]utt_f0_mode_only_b0!H2</f>
        <v>7.5423206454383798E-3</v>
      </c>
      <c r="I3" s="269" t="str">
        <f>IF(H3&lt;0.001, "p &lt; .001", _xlfn.CONCAT("p = ", REPLACE(ROUND(H3, 3),1,2,".")))</f>
        <v>p = .008</v>
      </c>
      <c r="J3" s="129">
        <f>D3-B3</f>
        <v>0.35169397898047794</v>
      </c>
      <c r="L3" s="229">
        <f>[26]utt_f0_r2!$B$3</f>
        <v>2.6630692365991401E-2</v>
      </c>
      <c r="M3" s="229">
        <f>[26]utt_f0_r2!$B$2</f>
        <v>0.95251205799762395</v>
      </c>
    </row>
    <row r="4" spans="1:13" s="137" customFormat="1" ht="33.6" customHeight="1" thickBot="1" x14ac:dyDescent="0.35">
      <c r="A4" s="128" t="s">
        <v>15</v>
      </c>
      <c r="B4" s="128">
        <f>[35]utt_f0_mode_only_b0!B3</f>
        <v>-4.9753135106339497E-2</v>
      </c>
      <c r="C4" s="128">
        <f>[35]utt_f0_mode_only_b0!C3</f>
        <v>-0.67034954012477899</v>
      </c>
      <c r="D4" s="128">
        <f>[35]utt_f0_mode_only_b0!D3</f>
        <v>0.57084326991209899</v>
      </c>
      <c r="E4" s="126">
        <f>[35]utt_f0_mode_only_b0!E3</f>
        <v>0.28243441864628599</v>
      </c>
      <c r="F4" s="126">
        <f>[35]utt_f0_mode_only_b0!F3</f>
        <v>-0.176158186898067</v>
      </c>
      <c r="G4" s="126">
        <f>[35]utt_f0_mode_only_b0!G3</f>
        <v>11.152805969689201</v>
      </c>
      <c r="H4" s="276">
        <f>[35]utt_f0_mode_only_b0!H3</f>
        <v>0.86332763449388095</v>
      </c>
      <c r="I4" s="270" t="str">
        <f>IF(H4&lt;0.001, "p &lt; .001", _xlfn.CONCAT("p = ", REPLACE(ROUND(H4, 3),1,2,".")))</f>
        <v>p = .863</v>
      </c>
      <c r="J4" s="126">
        <f t="shared" ref="J4:J6" si="0">D4-B4</f>
        <v>0.62059640501843849</v>
      </c>
      <c r="L4" s="210"/>
      <c r="M4" s="210"/>
    </row>
    <row r="5" spans="1:13" s="137" customFormat="1" ht="33.6" customHeight="1" thickBot="1" x14ac:dyDescent="0.35">
      <c r="A5" s="128" t="s">
        <v>16</v>
      </c>
      <c r="B5" s="128">
        <f>[35]utt_f0_mode_only_b0!B4</f>
        <v>0.23743757336004501</v>
      </c>
      <c r="C5" s="128">
        <f>[35]utt_f0_mode_only_b0!C4</f>
        <v>-0.14802119447717799</v>
      </c>
      <c r="D5" s="128">
        <f>[35]utt_f0_mode_only_b0!D4</f>
        <v>0.622896341197268</v>
      </c>
      <c r="E5" s="126">
        <f>[35]utt_f0_mode_only_b0!E4</f>
        <v>0.17707019232993801</v>
      </c>
      <c r="F5" s="126">
        <f>[35]utt_f0_mode_only_b0!F4</f>
        <v>1.3409234509534</v>
      </c>
      <c r="G5" s="126">
        <f>[35]utt_f0_mode_only_b0!G4</f>
        <v>12.097346266187699</v>
      </c>
      <c r="H5" s="276">
        <f>[35]utt_f0_mode_only_b0!H4</f>
        <v>0.20458079354737199</v>
      </c>
      <c r="I5" s="270" t="str">
        <f>IF(H5&lt;0.001, "p &lt; .001", _xlfn.CONCAT("p = ", REPLACE(ROUND(H5, 3),1,2,".")))</f>
        <v>p = .205</v>
      </c>
      <c r="J5" s="126">
        <f t="shared" si="0"/>
        <v>0.38545876783722299</v>
      </c>
      <c r="L5" s="210"/>
      <c r="M5" s="210"/>
    </row>
    <row r="6" spans="1:13" s="137" customFormat="1" ht="33.6" customHeight="1" thickBot="1" x14ac:dyDescent="0.35">
      <c r="A6" s="125" t="s">
        <v>17</v>
      </c>
      <c r="B6" s="125">
        <f>[35]utt_f0_mode_only_b0!B5</f>
        <v>1.67378616080225</v>
      </c>
      <c r="C6" s="125">
        <f>[35]utt_f0_mode_only_b0!C5</f>
        <v>0.70534574293183705</v>
      </c>
      <c r="D6" s="125">
        <f>[35]utt_f0_mode_only_b0!D5</f>
        <v>2.6422265786726702</v>
      </c>
      <c r="E6" s="123">
        <f>[35]utt_f0_mode_only_b0!E5</f>
        <v>0.43732359179105101</v>
      </c>
      <c r="F6" s="123">
        <f>[35]utt_f0_mode_only_b0!F5</f>
        <v>3.8273401943565202</v>
      </c>
      <c r="G6" s="123">
        <f>[35]utt_f0_mode_only_b0!G5</f>
        <v>10.476764087094701</v>
      </c>
      <c r="H6" s="277">
        <f>[35]utt_f0_mode_only_b0!H5</f>
        <v>3.0637351248745102E-3</v>
      </c>
      <c r="I6" s="271" t="str">
        <f>IF(H6&lt;0.001, "p &lt; .001", _xlfn.CONCAT("p = ", REPLACE(ROUND(H6, 3),1,2,".")))</f>
        <v>p = .003</v>
      </c>
      <c r="J6" s="123">
        <f t="shared" si="0"/>
        <v>0.96844041787042023</v>
      </c>
      <c r="L6" s="210"/>
      <c r="M6" s="210"/>
    </row>
    <row r="7" spans="1:13" s="137" customFormat="1" x14ac:dyDescent="0.3">
      <c r="A7" s="121" t="s">
        <v>85</v>
      </c>
      <c r="B7" s="122">
        <f>_xlfn.STDEV.S(B3:B6)</f>
        <v>0.94639514078683329</v>
      </c>
      <c r="C7" s="140" t="s">
        <v>88</v>
      </c>
      <c r="D7" s="141">
        <f>_xlfn.VAR.S(B3:B6)</f>
        <v>0.89566376250493007</v>
      </c>
      <c r="E7" s="140"/>
      <c r="F7" s="139"/>
      <c r="G7" s="138"/>
      <c r="H7" s="272"/>
      <c r="I7" s="272"/>
      <c r="L7" s="210"/>
      <c r="M7" s="210"/>
    </row>
    <row r="8" spans="1:13" s="137" customFormat="1" x14ac:dyDescent="0.3">
      <c r="A8" s="121" t="s">
        <v>87</v>
      </c>
      <c r="B8" s="209">
        <f>AVERAGE(B3:B6)</f>
        <v>0.33448270219585613</v>
      </c>
      <c r="C8" s="141"/>
      <c r="D8" s="140"/>
      <c r="E8" s="140"/>
      <c r="F8" s="139"/>
      <c r="G8" s="138"/>
      <c r="H8" s="272"/>
      <c r="I8" s="272"/>
      <c r="L8" s="210"/>
      <c r="M8" s="210"/>
    </row>
    <row r="9" spans="1:13" s="134" customFormat="1" ht="33.6" customHeight="1" thickBot="1" x14ac:dyDescent="0.35">
      <c r="A9" s="136" t="s">
        <v>54</v>
      </c>
      <c r="B9" s="135"/>
      <c r="C9" s="135"/>
      <c r="D9" s="135"/>
      <c r="E9" s="135"/>
      <c r="G9" s="134" t="s">
        <v>52</v>
      </c>
      <c r="H9" s="267"/>
      <c r="I9" s="267"/>
      <c r="L9" s="210"/>
      <c r="M9" s="210"/>
    </row>
    <row r="10" spans="1:13" ht="25.2" customHeight="1" thickTop="1" thickBot="1" x14ac:dyDescent="0.35">
      <c r="A10" s="132" t="s">
        <v>53</v>
      </c>
      <c r="B10" s="132" t="str">
        <f>[27]utt_slope_b0!B1</f>
        <v>estimate</v>
      </c>
      <c r="C10" s="132" t="str">
        <f>[27]utt_slope_b0!C1</f>
        <v>conf.low</v>
      </c>
      <c r="D10" s="132" t="str">
        <f>[27]utt_slope_b0!D1</f>
        <v>conf.high</v>
      </c>
      <c r="E10" s="132" t="str">
        <f>[27]utt_slope_b0!E1</f>
        <v>std.error</v>
      </c>
      <c r="F10" s="132" t="str">
        <f>[27]utt_slope_b0!F1</f>
        <v>t.value</v>
      </c>
      <c r="G10" s="132" t="str">
        <f>[27]utt_slope_b0!G1</f>
        <v>df</v>
      </c>
      <c r="H10" s="274" t="str">
        <f>[27]utt_slope_b0!H1</f>
        <v>p.value</v>
      </c>
      <c r="I10" s="268" t="str">
        <f>[27]utt_slope_b0!J1</f>
        <v>signif.</v>
      </c>
      <c r="J10" s="132" t="s">
        <v>77</v>
      </c>
      <c r="L10" s="132" t="s">
        <v>57</v>
      </c>
      <c r="M10" s="132" t="s">
        <v>56</v>
      </c>
    </row>
    <row r="11" spans="1:13" s="137" customFormat="1" ht="33.6" customHeight="1" thickTop="1" thickBot="1" x14ac:dyDescent="0.35">
      <c r="A11" s="131" t="s">
        <v>14</v>
      </c>
      <c r="B11" s="129">
        <f>[27]utt_slope_b0!B2</f>
        <v>-0.42399999999999999</v>
      </c>
      <c r="C11" s="131">
        <f>[27]utt_slope_b0!C2</f>
        <v>-2.0388500774625702</v>
      </c>
      <c r="D11" s="131">
        <f>[27]utt_slope_b0!D2</f>
        <v>1.19087341407404</v>
      </c>
      <c r="E11" s="129">
        <f>[27]utt_slope_b0!E2</f>
        <v>0.73699999999999999</v>
      </c>
      <c r="F11" s="129">
        <f>[27]utt_slope_b0!F2</f>
        <v>-0.57499999999999996</v>
      </c>
      <c r="G11" s="129">
        <f>[27]utt_slope_b0!G2</f>
        <v>11.46</v>
      </c>
      <c r="H11" s="275">
        <f>[27]utt_slope_b0!H2</f>
        <v>0.57599999999999996</v>
      </c>
      <c r="I11" s="269" t="str">
        <f t="shared" ref="I11:I14" si="1">IF(H11&lt;0.001, "p &lt; .001", _xlfn.CONCAT("p = ", REPLACE(ROUND(H11, 3),1,2,".")))</f>
        <v>p = .576</v>
      </c>
      <c r="J11" s="129">
        <f t="shared" ref="J11:J14" si="2">D11-B11</f>
        <v>1.6148734140740399</v>
      </c>
      <c r="L11" s="229">
        <f>[28]utt_slope_r2!$B$3</f>
        <v>0.50064598788705905</v>
      </c>
      <c r="M11" s="229">
        <f>[28]utt_slope_r2!$B$2</f>
        <v>0.82651743401007005</v>
      </c>
    </row>
    <row r="12" spans="1:13" s="137" customFormat="1" ht="33.6" customHeight="1" thickBot="1" x14ac:dyDescent="0.35">
      <c r="A12" s="128" t="s">
        <v>15</v>
      </c>
      <c r="B12" s="126">
        <f>[27]utt_slope_b0!B3</f>
        <v>-2.8490000000000002</v>
      </c>
      <c r="C12" s="128">
        <f>[27]utt_slope_b0!C3</f>
        <v>-4.8371292842892704</v>
      </c>
      <c r="D12" s="128">
        <f>[27]utt_slope_b0!D3</f>
        <v>-0.86092869874570399</v>
      </c>
      <c r="E12" s="126">
        <f>[27]utt_slope_b0!E3</f>
        <v>0.90500000000000003</v>
      </c>
      <c r="F12" s="126">
        <f>[27]utt_slope_b0!F3</f>
        <v>-3.149</v>
      </c>
      <c r="G12" s="126">
        <f>[27]utt_slope_b0!G3</f>
        <v>11.15</v>
      </c>
      <c r="H12" s="276">
        <f>[27]utt_slope_b0!H3</f>
        <v>8.9999999999999993E-3</v>
      </c>
      <c r="I12" s="270" t="str">
        <f t="shared" si="1"/>
        <v>p = .009</v>
      </c>
      <c r="J12" s="126">
        <f t="shared" si="2"/>
        <v>1.9880713012542963</v>
      </c>
      <c r="L12" s="211"/>
      <c r="M12" s="211"/>
    </row>
    <row r="13" spans="1:13" s="137" customFormat="1" ht="33.6" customHeight="1" thickBot="1" x14ac:dyDescent="0.35">
      <c r="A13" s="128" t="s">
        <v>16</v>
      </c>
      <c r="B13" s="126">
        <f>[27]utt_slope_b0!B4</f>
        <v>3.1259999999999999</v>
      </c>
      <c r="C13" s="128">
        <f>[27]utt_slope_b0!C4</f>
        <v>1.5929891966334999</v>
      </c>
      <c r="D13" s="128">
        <f>[27]utt_slope_b0!D4</f>
        <v>4.6583189993808896</v>
      </c>
      <c r="E13" s="126">
        <f>[27]utt_slope_b0!E4</f>
        <v>0.7</v>
      </c>
      <c r="F13" s="126">
        <f>[27]utt_slope_b0!F4</f>
        <v>4.4630000000000001</v>
      </c>
      <c r="G13" s="126">
        <f>[27]utt_slope_b0!G4</f>
        <v>11.55</v>
      </c>
      <c r="H13" s="276">
        <f>[27]utt_slope_b0!H4</f>
        <v>8.4999999999999995E-4</v>
      </c>
      <c r="I13" s="270" t="str">
        <f t="shared" si="1"/>
        <v>p &lt; .001</v>
      </c>
      <c r="J13" s="126">
        <f t="shared" si="2"/>
        <v>1.5323189993808897</v>
      </c>
      <c r="L13" s="211"/>
      <c r="M13" s="211"/>
    </row>
    <row r="14" spans="1:13" s="137" customFormat="1" ht="33.6" customHeight="1" thickBot="1" x14ac:dyDescent="0.35">
      <c r="A14" s="125" t="s">
        <v>17</v>
      </c>
      <c r="B14" s="123">
        <f>[27]utt_slope_b0!B5</f>
        <v>6.19</v>
      </c>
      <c r="C14" s="125">
        <f>[27]utt_slope_b0!C5</f>
        <v>3.7877391950621901</v>
      </c>
      <c r="D14" s="125">
        <f>[27]utt_slope_b0!D5</f>
        <v>8.5923685128481093</v>
      </c>
      <c r="E14" s="123">
        <f>[27]utt_slope_b0!E5</f>
        <v>1.0900000000000001</v>
      </c>
      <c r="F14" s="123">
        <f>[27]utt_slope_b0!F5</f>
        <v>5.6779999999999999</v>
      </c>
      <c r="G14" s="123">
        <f>[27]utt_slope_b0!G5</f>
        <v>10.9</v>
      </c>
      <c r="H14" s="277">
        <f>[27]utt_slope_b0!H5</f>
        <v>1.4999999999999999E-4</v>
      </c>
      <c r="I14" s="271" t="str">
        <f t="shared" si="1"/>
        <v>p &lt; .001</v>
      </c>
      <c r="J14" s="123">
        <f t="shared" si="2"/>
        <v>2.4023685128481089</v>
      </c>
      <c r="L14" s="211"/>
      <c r="M14" s="211"/>
    </row>
    <row r="15" spans="1:13" x14ac:dyDescent="0.3">
      <c r="A15" s="121" t="s">
        <v>85</v>
      </c>
      <c r="B15" s="122">
        <f>_xlfn.STDEV.S(B11:B14)</f>
        <v>3.9688407522432376</v>
      </c>
      <c r="C15" s="140" t="s">
        <v>88</v>
      </c>
      <c r="D15" s="140">
        <f>_xlfn.VAR.S(B11:B14)</f>
        <v>15.751696916666667</v>
      </c>
    </row>
    <row r="16" spans="1:13" x14ac:dyDescent="0.3">
      <c r="A16" s="121" t="s">
        <v>86</v>
      </c>
      <c r="B16" s="122">
        <f>AVERAGE(B11:B14)</f>
        <v>1.51075</v>
      </c>
      <c r="C16" s="121"/>
      <c r="D16" s="121"/>
    </row>
    <row r="17" spans="1:6" ht="33.6" customHeight="1" x14ac:dyDescent="0.3">
      <c r="A17" s="121"/>
      <c r="B17" s="121"/>
      <c r="C17" s="121"/>
      <c r="D17" s="121"/>
    </row>
    <row r="18" spans="1:6" ht="33.6" customHeight="1" x14ac:dyDescent="0.3">
      <c r="B18" s="122" t="s">
        <v>113</v>
      </c>
      <c r="C18" s="122" t="s">
        <v>114</v>
      </c>
      <c r="D18" s="122" t="s">
        <v>115</v>
      </c>
      <c r="E18" s="121" t="s">
        <v>116</v>
      </c>
      <c r="F18" s="121" t="s">
        <v>107</v>
      </c>
    </row>
    <row r="19" spans="1:6" ht="16.2" customHeight="1" x14ac:dyDescent="0.3">
      <c r="A19" s="144">
        <v>-2</v>
      </c>
      <c r="B19" s="122">
        <f>$B$3+$B$11*$A19</f>
        <v>0.32446020972746903</v>
      </c>
      <c r="C19" s="122">
        <f>$B$4+$B$12*$A19</f>
        <v>5.648246864893661</v>
      </c>
      <c r="D19" s="122">
        <f>$B$5+$B$13*$A19</f>
        <v>-6.0145624266399551</v>
      </c>
      <c r="E19" s="122">
        <f>$B$6+$B$14*$A19</f>
        <v>-10.706213839197751</v>
      </c>
      <c r="F19" s="122">
        <f>$B$8+$B$16*$A19</f>
        <v>-2.687017297804144</v>
      </c>
    </row>
    <row r="20" spans="1:6" ht="15.6" customHeight="1" x14ac:dyDescent="0.3">
      <c r="A20" s="144">
        <v>2</v>
      </c>
      <c r="B20" s="122">
        <f>$B$3+$B$11*$A20</f>
        <v>-1.3715397902725308</v>
      </c>
      <c r="C20" s="122">
        <f>$B$4+$B$12*$A20</f>
        <v>-5.7477531351063398</v>
      </c>
      <c r="D20" s="122">
        <f>$B$5+$B$13*$A20</f>
        <v>6.4894375733600445</v>
      </c>
      <c r="E20" s="122">
        <f>$B$5+$B$14*$A20</f>
        <v>12.617437573360046</v>
      </c>
      <c r="F20" s="122">
        <f>$B$8+$B$16*$A20</f>
        <v>3.3559827021958561</v>
      </c>
    </row>
    <row r="21" spans="1:6" ht="12" customHeight="1" x14ac:dyDescent="0.3"/>
    <row r="23" spans="1:6" x14ac:dyDescent="0.3">
      <c r="B23" s="122" t="str">
        <f>B18</f>
        <v>MDC (mode-only)</v>
      </c>
      <c r="C23" s="122" t="str">
        <f t="shared" ref="C23:E23" si="3">C18</f>
        <v>MWH (mode-only)</v>
      </c>
      <c r="D23" s="122" t="str">
        <f t="shared" si="3"/>
        <v>MYN (mode-only)</v>
      </c>
      <c r="E23" s="122" t="str">
        <f t="shared" si="3"/>
        <v>MDQ (mode-only)</v>
      </c>
      <c r="F23" s="121" t="s">
        <v>108</v>
      </c>
    </row>
    <row r="24" spans="1:6" x14ac:dyDescent="0.3">
      <c r="A24" s="144">
        <v>-2</v>
      </c>
      <c r="B24" s="122">
        <f>$B$3</f>
        <v>-0.52353979027253095</v>
      </c>
      <c r="C24" s="122">
        <f>$B$4</f>
        <v>-4.9753135106339497E-2</v>
      </c>
      <c r="D24" s="122">
        <f>$B$5</f>
        <v>0.23743757336004501</v>
      </c>
      <c r="E24" s="122">
        <f>$B$6</f>
        <v>1.67378616080225</v>
      </c>
      <c r="F24" s="122">
        <f>B8</f>
        <v>0.33448270219585613</v>
      </c>
    </row>
    <row r="25" spans="1:6" x14ac:dyDescent="0.3">
      <c r="A25" s="144">
        <v>2</v>
      </c>
      <c r="B25" s="122">
        <f>$B$3</f>
        <v>-0.52353979027253095</v>
      </c>
      <c r="C25" s="122">
        <f>$B$4</f>
        <v>-4.9753135106339497E-2</v>
      </c>
      <c r="D25" s="122">
        <f>$B$5</f>
        <v>0.23743757336004501</v>
      </c>
      <c r="E25" s="122">
        <f>$B$6</f>
        <v>1.67378616080225</v>
      </c>
      <c r="F25" s="122">
        <f>B8</f>
        <v>0.33448270219585613</v>
      </c>
    </row>
    <row r="27" spans="1:6" x14ac:dyDescent="0.3">
      <c r="A27" s="121"/>
      <c r="B27" s="121"/>
      <c r="C27" s="121"/>
      <c r="D27" s="121"/>
    </row>
    <row r="28" spans="1:6" x14ac:dyDescent="0.3">
      <c r="A28" s="121"/>
      <c r="B28" s="121"/>
      <c r="C28" s="121"/>
      <c r="D28" s="121"/>
    </row>
    <row r="29" spans="1:6" x14ac:dyDescent="0.3">
      <c r="A29" s="121"/>
      <c r="B29" s="121"/>
      <c r="C29" s="121"/>
      <c r="D29" s="121"/>
    </row>
    <row r="30" spans="1:6" x14ac:dyDescent="0.3">
      <c r="C30" s="121"/>
      <c r="D30" s="121"/>
    </row>
    <row r="31" spans="1:6" x14ac:dyDescent="0.3">
      <c r="C31" s="121"/>
      <c r="D31" s="121"/>
    </row>
    <row r="32" spans="1:6" x14ac:dyDescent="0.3">
      <c r="C32" s="121"/>
      <c r="D32" s="121"/>
    </row>
    <row r="33" spans="3:4" x14ac:dyDescent="0.3">
      <c r="C33" s="121"/>
      <c r="D33" s="121"/>
    </row>
  </sheetData>
  <conditionalFormatting sqref="I11:I12">
    <cfRule type="containsText" dxfId="121" priority="43" stopIfTrue="1" operator="containsText" text="p&lt;0.001">
      <formula>NOT(ISERROR(SEARCH("p&lt;0.001",I11)))</formula>
    </cfRule>
    <cfRule type="containsText" dxfId="120" priority="44" stopIfTrue="1" operator="containsText" text="p&lt;0.01">
      <formula>NOT(ISERROR(SEARCH("p&lt;0.01",I11)))</formula>
    </cfRule>
    <cfRule type="containsText" dxfId="119" priority="45" stopIfTrue="1" operator="containsText" text="p&lt;0.05">
      <formula>NOT(ISERROR(SEARCH("p&lt;0.05",I11)))</formula>
    </cfRule>
    <cfRule type="containsText" dxfId="118" priority="46" stopIfTrue="1" operator="containsText" text="p&lt;0.1">
      <formula>NOT(ISERROR(SEARCH("p&lt;0.1",I11)))</formula>
    </cfRule>
  </conditionalFormatting>
  <conditionalFormatting sqref="I13:I14">
    <cfRule type="containsText" dxfId="113" priority="35" stopIfTrue="1" operator="containsText" text="p&lt;0.001">
      <formula>NOT(ISERROR(SEARCH("p&lt;0.001",I13)))</formula>
    </cfRule>
    <cfRule type="containsText" dxfId="112" priority="36" stopIfTrue="1" operator="containsText" text="p&lt;0.01">
      <formula>NOT(ISERROR(SEARCH("p&lt;0.01",I13)))</formula>
    </cfRule>
    <cfRule type="containsText" dxfId="111" priority="37" stopIfTrue="1" operator="containsText" text="p&lt;0.05">
      <formula>NOT(ISERROR(SEARCH("p&lt;0.05",I13)))</formula>
    </cfRule>
    <cfRule type="containsText" dxfId="110" priority="38" stopIfTrue="1" operator="containsText" text="p&lt;0.1">
      <formula>NOT(ISERROR(SEARCH("p&lt;0.1",I13)))</formula>
    </cfRule>
  </conditionalFormatting>
  <conditionalFormatting sqref="I3:I4">
    <cfRule type="containsText" dxfId="105" priority="18" stopIfTrue="1" operator="containsText" text="p&lt;0.0001">
      <formula>NOT(ISERROR(SEARCH("p&lt;0.0001",I3)))</formula>
    </cfRule>
    <cfRule type="containsText" dxfId="104" priority="27" stopIfTrue="1" operator="containsText" text="p&lt;0.001">
      <formula>NOT(ISERROR(SEARCH("p&lt;0.001",I3)))</formula>
    </cfRule>
    <cfRule type="containsText" dxfId="103" priority="28" stopIfTrue="1" operator="containsText" text="p&lt;0.01">
      <formula>NOT(ISERROR(SEARCH("p&lt;0.01",I3)))</formula>
    </cfRule>
    <cfRule type="containsText" dxfId="102" priority="29" stopIfTrue="1" operator="containsText" text="p&lt;0.05">
      <formula>NOT(ISERROR(SEARCH("p&lt;0.05",I3)))</formula>
    </cfRule>
    <cfRule type="containsText" dxfId="101" priority="30" stopIfTrue="1" operator="containsText" text="p&lt;0.1">
      <formula>NOT(ISERROR(SEARCH("p&lt;0.1",I3)))</formula>
    </cfRule>
  </conditionalFormatting>
  <conditionalFormatting sqref="I5:I6">
    <cfRule type="containsText" dxfId="96" priority="17" stopIfTrue="1" operator="containsText" text="p&lt;0.0001">
      <formula>NOT(ISERROR(SEARCH("p&lt;0.0001",I5)))</formula>
    </cfRule>
    <cfRule type="containsText" dxfId="95" priority="19" stopIfTrue="1" operator="containsText" text="p&lt;0.001">
      <formula>NOT(ISERROR(SEARCH("p&lt;0.001",I5)))</formula>
    </cfRule>
    <cfRule type="containsText" dxfId="94" priority="20" stopIfTrue="1" operator="containsText" text="p&lt;0.01">
      <formula>NOT(ISERROR(SEARCH("p&lt;0.01",I5)))</formula>
    </cfRule>
    <cfRule type="containsText" dxfId="93" priority="21" stopIfTrue="1" operator="containsText" text="p&lt;0.05">
      <formula>NOT(ISERROR(SEARCH("p&lt;0.05",I5)))</formula>
    </cfRule>
    <cfRule type="containsText" dxfId="92" priority="22" stopIfTrue="1" operator="containsText" text="p&lt;0.1">
      <formula>NOT(ISERROR(SEARCH("p&lt;0.1",I5)))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E19B-FF15-46C7-B143-351F74E2D2B0}">
  <dimension ref="A1:M33"/>
  <sheetViews>
    <sheetView showGridLines="0" topLeftCell="A5" zoomScale="85" zoomScaleNormal="85" workbookViewId="0">
      <selection activeCell="X8" sqref="X8"/>
    </sheetView>
  </sheetViews>
  <sheetFormatPr defaultColWidth="8.88671875" defaultRowHeight="14.4" x14ac:dyDescent="0.3"/>
  <cols>
    <col min="1" max="1" width="14" style="122" bestFit="1" customWidth="1"/>
    <col min="2" max="3" width="11.33203125" style="122" bestFit="1" customWidth="1"/>
    <col min="4" max="4" width="9.6640625" style="122" bestFit="1" customWidth="1"/>
    <col min="5" max="5" width="10.6640625" style="121" bestFit="1" customWidth="1"/>
    <col min="6" max="6" width="9.6640625" style="121" bestFit="1" customWidth="1"/>
    <col min="7" max="7" width="10.109375" style="121" customWidth="1"/>
    <col min="8" max="8" width="12.88671875" style="121" customWidth="1"/>
    <col min="9" max="9" width="13.33203125" style="121" customWidth="1"/>
    <col min="10" max="10" width="14" style="121" customWidth="1"/>
    <col min="11" max="11" width="3.33203125" style="121" customWidth="1"/>
    <col min="12" max="15" width="8.88671875" style="121"/>
    <col min="16" max="16" width="2.88671875" style="121" customWidth="1"/>
    <col min="17" max="17" width="12" style="121" customWidth="1"/>
    <col min="18" max="18" width="3.88671875" style="121" customWidth="1"/>
    <col min="19" max="16384" width="8.88671875" style="121"/>
  </cols>
  <sheetData>
    <row r="1" spans="1:13" s="134" customFormat="1" ht="30" thickBot="1" x14ac:dyDescent="0.35">
      <c r="A1" s="136" t="s">
        <v>55</v>
      </c>
      <c r="B1" s="143" t="s">
        <v>78</v>
      </c>
      <c r="C1" s="135"/>
      <c r="D1" s="143"/>
      <c r="E1" s="143"/>
      <c r="F1" s="142"/>
      <c r="G1" s="142"/>
    </row>
    <row r="2" spans="1:13" ht="25.2" customHeight="1" thickTop="1" thickBot="1" x14ac:dyDescent="0.35">
      <c r="A2" s="132" t="s">
        <v>53</v>
      </c>
      <c r="B2" s="132" t="str">
        <f>[29]utt_f0_full_phon_b0!B1</f>
        <v>estimate</v>
      </c>
      <c r="C2" s="132" t="str">
        <f>[29]utt_f0_full_phon_b0!C1</f>
        <v>conf.low</v>
      </c>
      <c r="D2" s="132" t="str">
        <f>[29]utt_f0_full_phon_b0!D1</f>
        <v>conf.high</v>
      </c>
      <c r="E2" s="132" t="str">
        <f>[29]utt_f0_full_phon_b0!E1</f>
        <v>std.error</v>
      </c>
      <c r="F2" s="132" t="str">
        <f>[29]utt_f0_full_phon_b0!F1</f>
        <v>t.value</v>
      </c>
      <c r="G2" s="132" t="str">
        <f>[29]utt_f0_full_phon_b0!G1</f>
        <v>df</v>
      </c>
      <c r="H2" s="132" t="str">
        <f>[29]utt_f0_full_phon_b0!H1</f>
        <v>p.value</v>
      </c>
      <c r="I2" s="133" t="str">
        <f>[29]utt_f0_full_phon_b0!J1</f>
        <v>signif.</v>
      </c>
      <c r="J2" s="132" t="s">
        <v>77</v>
      </c>
      <c r="L2" s="132" t="s">
        <v>57</v>
      </c>
      <c r="M2" s="132" t="s">
        <v>56</v>
      </c>
    </row>
    <row r="3" spans="1:13" s="137" customFormat="1" ht="33.6" customHeight="1" thickTop="1" thickBot="1" x14ac:dyDescent="0.35">
      <c r="A3" s="131" t="s">
        <v>14</v>
      </c>
      <c r="B3" s="131">
        <f>[36]utt_f0_full_phon_b0!B2</f>
        <v>-0.418601741744975</v>
      </c>
      <c r="C3" s="131">
        <f>[36]utt_f0_full_phon_b0!C2</f>
        <v>-1.3644474034801</v>
      </c>
      <c r="D3" s="131">
        <f>[36]utt_f0_full_phon_b0!D2</f>
        <v>0.52724391999015496</v>
      </c>
      <c r="E3" s="129">
        <f>[36]utt_f0_full_phon_b0!E2</f>
        <v>0.38315049648949201</v>
      </c>
      <c r="F3" s="129">
        <f>[36]utt_f0_full_phon_b0!F2</f>
        <v>-1.0925256409173201</v>
      </c>
      <c r="G3" s="129">
        <f>[36]utt_f0_full_phon_b0!G2</f>
        <v>5.78986624509675</v>
      </c>
      <c r="H3" s="212">
        <f>[36]utt_f0_full_phon_b0!H2</f>
        <v>0.31796293588739999</v>
      </c>
      <c r="I3" s="269" t="str">
        <f>IF(H3&lt;0.001, "p &lt; .001", _xlfn.CONCAT("p = ", REPLACE(ROUND(H3, 3),1,2,".")))</f>
        <v>p = .318</v>
      </c>
      <c r="J3" s="129">
        <f t="shared" ref="J3:J6" si="0">D3-B3</f>
        <v>0.94584566173512996</v>
      </c>
      <c r="L3" s="229">
        <f>[30]utt_f0_full_phon_r2!$B$3</f>
        <v>1.8544092869285801E-2</v>
      </c>
      <c r="M3" s="229">
        <f>[30]utt_f0_full_phon_r2!$B$2</f>
        <v>0.95092036274743896</v>
      </c>
    </row>
    <row r="4" spans="1:13" s="137" customFormat="1" ht="33.6" customHeight="1" thickBot="1" x14ac:dyDescent="0.35">
      <c r="A4" s="128" t="s">
        <v>15</v>
      </c>
      <c r="B4" s="128">
        <f>[36]utt_f0_full_phon_b0!B3</f>
        <v>5.4921727840636599E-2</v>
      </c>
      <c r="C4" s="128">
        <f>[36]utt_f0_full_phon_b0!C3</f>
        <v>-0.97709824775802601</v>
      </c>
      <c r="D4" s="128">
        <f>[36]utt_f0_full_phon_b0!D3</f>
        <v>1.0869417034393001</v>
      </c>
      <c r="E4" s="126">
        <f>[36]utt_f0_full_phon_b0!E3</f>
        <v>0.46387963357941697</v>
      </c>
      <c r="F4" s="126">
        <f>[36]utt_f0_full_phon_b0!F3</f>
        <v>0.118396506043704</v>
      </c>
      <c r="G4" s="126">
        <f>[36]utt_f0_full_phon_b0!G3</f>
        <v>10.1133616182985</v>
      </c>
      <c r="H4" s="278">
        <f>[36]utt_f0_full_phon_b0!H3</f>
        <v>0.90807212439538498</v>
      </c>
      <c r="I4" s="270" t="str">
        <f>IF(H4&lt;0.001, "p &lt; .001", _xlfn.CONCAT("p = ", REPLACE(ROUND(H4, 3),1,2,".")))</f>
        <v>p = .908</v>
      </c>
      <c r="J4" s="126">
        <f t="shared" si="0"/>
        <v>1.0320199755986634</v>
      </c>
      <c r="L4" s="210"/>
      <c r="M4" s="210"/>
    </row>
    <row r="5" spans="1:13" s="137" customFormat="1" ht="33.6" customHeight="1" thickBot="1" x14ac:dyDescent="0.35">
      <c r="A5" s="128" t="s">
        <v>16</v>
      </c>
      <c r="B5" s="128">
        <f>[36]utt_f0_full_phon_b0!B4</f>
        <v>0.15244365963015299</v>
      </c>
      <c r="C5" s="128">
        <f>[36]utt_f0_full_phon_b0!C4</f>
        <v>-0.80115317426675803</v>
      </c>
      <c r="D5" s="128">
        <f>[36]utt_f0_full_phon_b0!D4</f>
        <v>1.10604049352706</v>
      </c>
      <c r="E5" s="126">
        <f>[36]utt_f0_full_phon_b0!E4</f>
        <v>0.38224974249189803</v>
      </c>
      <c r="F5" s="126">
        <f>[36]utt_f0_full_phon_b0!F4</f>
        <v>0.39880644166394602</v>
      </c>
      <c r="G5" s="126">
        <f>[36]utt_f0_full_phon_b0!G4</f>
        <v>5.5594156434446003</v>
      </c>
      <c r="H5" s="278">
        <f>[36]utt_f0_full_phon_b0!H4</f>
        <v>0.70489872922498298</v>
      </c>
      <c r="I5" s="270" t="str">
        <f>IF(H5&lt;0.001, "p &lt; .001", _xlfn.CONCAT("p = ", REPLACE(ROUND(H5, 3),1,2,".")))</f>
        <v>p = .705</v>
      </c>
      <c r="J5" s="126">
        <f t="shared" si="0"/>
        <v>0.95359683389690697</v>
      </c>
      <c r="L5" s="210"/>
      <c r="M5" s="210"/>
    </row>
    <row r="6" spans="1:13" s="137" customFormat="1" ht="33.6" customHeight="1" thickBot="1" x14ac:dyDescent="0.35">
      <c r="A6" s="125" t="s">
        <v>17</v>
      </c>
      <c r="B6" s="125">
        <f>[36]utt_f0_full_phon_b0!B5</f>
        <v>1.44073013611451</v>
      </c>
      <c r="C6" s="125">
        <f>[36]utt_f0_full_phon_b0!C5</f>
        <v>0.27513666162394901</v>
      </c>
      <c r="D6" s="125">
        <f>[36]utt_f0_full_phon_b0!D5</f>
        <v>2.60632361060508</v>
      </c>
      <c r="E6" s="123">
        <f>[36]utt_f0_full_phon_b0!E5</f>
        <v>0.54159215100311098</v>
      </c>
      <c r="F6" s="123">
        <f>[36]utt_f0_full_phon_b0!F5</f>
        <v>2.6601754354195601</v>
      </c>
      <c r="G6" s="123">
        <f>[36]utt_f0_full_phon_b0!G5</f>
        <v>13.5065727924218</v>
      </c>
      <c r="H6" s="279">
        <f>[36]utt_f0_full_phon_b0!H5</f>
        <v>1.91148103277935E-2</v>
      </c>
      <c r="I6" s="271" t="str">
        <f>IF(H6&lt;0.001, "p &lt; .001", _xlfn.CONCAT("p = ", REPLACE(ROUND(H6, 3),1,2,".")))</f>
        <v>p = .019</v>
      </c>
      <c r="J6" s="123">
        <f t="shared" si="0"/>
        <v>1.16559347449057</v>
      </c>
      <c r="L6" s="210"/>
      <c r="M6" s="210"/>
    </row>
    <row r="7" spans="1:13" s="137" customFormat="1" x14ac:dyDescent="0.3">
      <c r="A7" s="121" t="s">
        <v>85</v>
      </c>
      <c r="B7" s="122">
        <f>_xlfn.STDEV.S(B3:B6)</f>
        <v>0.79567004655508</v>
      </c>
      <c r="C7" s="140" t="s">
        <v>88</v>
      </c>
      <c r="D7" s="141">
        <f>_xlfn.VAR.S(B3:B6)</f>
        <v>0.63309082298496322</v>
      </c>
      <c r="E7" s="140"/>
      <c r="F7" s="139"/>
      <c r="G7" s="138" t="s">
        <v>89</v>
      </c>
      <c r="H7" s="211">
        <f>'Utt full B0'!B7-'Utt Mode B0'!B7</f>
        <v>-0.15072509423175329</v>
      </c>
      <c r="I7" s="137" t="s">
        <v>90</v>
      </c>
      <c r="J7" s="211">
        <f>'Utt Mode B0'!D7-'Utt full B0'!D7</f>
        <v>0.26257293951996685</v>
      </c>
      <c r="L7" s="210"/>
      <c r="M7" s="210"/>
    </row>
    <row r="8" spans="1:13" s="137" customFormat="1" x14ac:dyDescent="0.3">
      <c r="A8" s="121" t="s">
        <v>86</v>
      </c>
      <c r="B8" s="209">
        <f>AVERAGE(B3:B6)</f>
        <v>0.30737344546008116</v>
      </c>
      <c r="C8" s="140"/>
      <c r="D8" s="140"/>
      <c r="E8" s="140"/>
      <c r="F8" s="139"/>
      <c r="G8" s="138" t="s">
        <v>95</v>
      </c>
      <c r="H8" s="211">
        <f>'Utt full B0'!B8-'Utt Mode B0'!B8</f>
        <v>-2.7109256735774967E-2</v>
      </c>
      <c r="L8" s="210"/>
      <c r="M8" s="210"/>
    </row>
    <row r="9" spans="1:13" s="134" customFormat="1" ht="33.6" customHeight="1" thickBot="1" x14ac:dyDescent="0.35">
      <c r="A9" s="136" t="s">
        <v>54</v>
      </c>
      <c r="B9" s="143" t="s">
        <v>78</v>
      </c>
      <c r="C9" s="143"/>
      <c r="D9" s="143"/>
      <c r="E9" s="135"/>
      <c r="G9" s="134" t="s">
        <v>52</v>
      </c>
      <c r="L9" s="210"/>
      <c r="M9" s="210"/>
    </row>
    <row r="10" spans="1:13" ht="25.2" customHeight="1" thickTop="1" thickBot="1" x14ac:dyDescent="0.35">
      <c r="A10" s="132" t="s">
        <v>53</v>
      </c>
      <c r="B10" s="208" t="str">
        <f>[31]utt_slope_full_phon_b0!B1</f>
        <v>estimate</v>
      </c>
      <c r="C10" s="208" t="str">
        <f>[31]utt_slope_full_phon_b0!C1</f>
        <v>conf.low</v>
      </c>
      <c r="D10" s="208" t="str">
        <f>[31]utt_slope_full_phon_b0!D1</f>
        <v>conf.high</v>
      </c>
      <c r="E10" s="132" t="str">
        <f>[31]utt_slope_full_phon_b0!E1</f>
        <v>std.error</v>
      </c>
      <c r="F10" s="132" t="str">
        <f>[31]utt_slope_full_phon_b0!F1</f>
        <v>t.value</v>
      </c>
      <c r="G10" s="132" t="str">
        <f>[31]utt_slope_full_phon_b0!G1</f>
        <v>df</v>
      </c>
      <c r="H10" s="132" t="str">
        <f>[31]utt_slope_full_phon_b0!H1</f>
        <v>p.value</v>
      </c>
      <c r="I10" s="133" t="str">
        <f>[31]utt_slope_full_phon_b0!J1</f>
        <v>signif.</v>
      </c>
      <c r="J10" s="132" t="s">
        <v>77</v>
      </c>
      <c r="L10" s="132" t="s">
        <v>57</v>
      </c>
      <c r="M10" s="132" t="s">
        <v>56</v>
      </c>
    </row>
    <row r="11" spans="1:13" s="137" customFormat="1" ht="33.6" customHeight="1" thickTop="1" thickBot="1" x14ac:dyDescent="0.35">
      <c r="A11" s="131" t="s">
        <v>14</v>
      </c>
      <c r="B11" s="129">
        <f>[37]utt_slope_full_phon_b0!B2</f>
        <v>-3.4714019405885499</v>
      </c>
      <c r="C11" s="131">
        <f>[37]utt_slope_full_phon_b0!C2</f>
        <v>-8.0525827550117004</v>
      </c>
      <c r="D11" s="131">
        <f>[37]utt_slope_full_phon_b0!D2</f>
        <v>1.10977887383458</v>
      </c>
      <c r="E11" s="129">
        <f>[37]utt_slope_full_phon_b0!E2</f>
        <v>2.0234355739820602</v>
      </c>
      <c r="F11" s="129">
        <f>[37]utt_slope_full_phon_b0!F2</f>
        <v>-1.7155979588502099</v>
      </c>
      <c r="G11" s="129">
        <f>[37]utt_slope_full_phon_b0!G2</f>
        <v>8.9506299986610092</v>
      </c>
      <c r="H11" s="212">
        <f>[37]utt_slope_full_phon_b0!H2</f>
        <v>0.120558838569345</v>
      </c>
      <c r="I11" s="269" t="str">
        <f>IF(H11&lt;0.001, "p &lt; .001", _xlfn.CONCAT("p = ", REPLACE(ROUND(H11, 3),1,2,".")))</f>
        <v>p = .121</v>
      </c>
      <c r="J11" s="129">
        <f>D11-B11</f>
        <v>4.5811808144231296</v>
      </c>
      <c r="L11" s="229">
        <f>[32]utt_slope_full_phon_r2!$B$3</f>
        <v>0.21507796859329401</v>
      </c>
      <c r="M11" s="229">
        <f>[32]utt_slope_full_phon_r2!$B$2</f>
        <v>0.90924598576144</v>
      </c>
    </row>
    <row r="12" spans="1:13" s="137" customFormat="1" ht="33.6" customHeight="1" thickBot="1" x14ac:dyDescent="0.35">
      <c r="A12" s="128" t="s">
        <v>15</v>
      </c>
      <c r="B12" s="126">
        <f>[37]utt_slope_full_phon_b0!B3</f>
        <v>-5.6066765505065197</v>
      </c>
      <c r="C12" s="128">
        <f>[37]utt_slope_full_phon_b0!C3</f>
        <v>-10.436288835807201</v>
      </c>
      <c r="D12" s="128">
        <f>[37]utt_slope_full_phon_b0!D3</f>
        <v>-0.77706426520584404</v>
      </c>
      <c r="E12" s="126">
        <f>[37]utt_slope_full_phon_b0!E3</f>
        <v>2.20976205657331</v>
      </c>
      <c r="F12" s="126">
        <f>[37]utt_slope_full_phon_b0!F3</f>
        <v>-2.5372308904610299</v>
      </c>
      <c r="G12" s="126">
        <f>[37]utt_slope_full_phon_b0!G3</f>
        <v>11.6739963721766</v>
      </c>
      <c r="H12" s="278">
        <f>[37]utt_slope_full_phon_b0!H3</f>
        <v>2.65425265512968E-2</v>
      </c>
      <c r="I12" s="270" t="str">
        <f>IF(H12&lt;0.001, "p &lt; .001", _xlfn.CONCAT("p = ", REPLACE(ROUND(H12, 3),1,2,".")))</f>
        <v>p = .027</v>
      </c>
      <c r="J12" s="126">
        <f t="shared" ref="J12:J14" si="1">D12-B12</f>
        <v>4.8296122853006755</v>
      </c>
      <c r="L12" s="211"/>
      <c r="M12" s="211"/>
    </row>
    <row r="13" spans="1:13" s="137" customFormat="1" ht="33.6" customHeight="1" thickBot="1" x14ac:dyDescent="0.35">
      <c r="A13" s="128" t="s">
        <v>16</v>
      </c>
      <c r="B13" s="126">
        <f>[37]utt_slope_full_phon_b0!B4</f>
        <v>-0.51549928692300795</v>
      </c>
      <c r="C13" s="128">
        <f>[37]utt_slope_full_phon_b0!C4</f>
        <v>-5.0115126207940701</v>
      </c>
      <c r="D13" s="128">
        <f>[37]utt_slope_full_phon_b0!D4</f>
        <v>3.9805140469480502</v>
      </c>
      <c r="E13" s="126">
        <f>[37]utt_slope_full_phon_b0!E4</f>
        <v>1.91879640659482</v>
      </c>
      <c r="F13" s="126">
        <f>[37]utt_slope_full_phon_b0!F4</f>
        <v>-0.26865762576543201</v>
      </c>
      <c r="G13" s="126">
        <f>[37]utt_slope_full_phon_b0!G4</f>
        <v>7.33116065936174</v>
      </c>
      <c r="H13" s="278">
        <f>[37]utt_slope_full_phon_b0!H4</f>
        <v>0.79559716883215503</v>
      </c>
      <c r="I13" s="270" t="str">
        <f>IF(H13&lt;0.001, "p &lt; .001", _xlfn.CONCAT("p = ", REPLACE(ROUND(H13, 3),1,2,".")))</f>
        <v>p = .796</v>
      </c>
      <c r="J13" s="126">
        <f t="shared" si="1"/>
        <v>4.4960133338710584</v>
      </c>
      <c r="L13" s="211"/>
      <c r="M13" s="211"/>
    </row>
    <row r="14" spans="1:13" s="137" customFormat="1" ht="33.6" customHeight="1" thickBot="1" x14ac:dyDescent="0.35">
      <c r="A14" s="125" t="s">
        <v>17</v>
      </c>
      <c r="B14" s="123">
        <f>[37]utt_slope_full_phon_b0!B5</f>
        <v>1.7526265474082099</v>
      </c>
      <c r="C14" s="125">
        <f>[37]utt_slope_full_phon_b0!C5</f>
        <v>-2.89247216205835</v>
      </c>
      <c r="D14" s="125">
        <f>[37]utt_slope_full_phon_b0!D5</f>
        <v>6.3977252568747698</v>
      </c>
      <c r="E14" s="123">
        <f>[37]utt_slope_full_phon_b0!E5</f>
        <v>2.0795871115867</v>
      </c>
      <c r="F14" s="123">
        <f>[37]utt_slope_full_phon_b0!F5</f>
        <v>0.84277621151006998</v>
      </c>
      <c r="G14" s="123">
        <f>[37]utt_slope_full_phon_b0!G5</f>
        <v>9.8207431860617493</v>
      </c>
      <c r="H14" s="279">
        <f>[37]utt_slope_full_phon_b0!H5</f>
        <v>0.41940545721535899</v>
      </c>
      <c r="I14" s="271" t="str">
        <f>IF(H14&lt;0.001, "p &lt; .001", _xlfn.CONCAT("p = ", REPLACE(ROUND(H14, 3),1,2,".")))</f>
        <v>p = .419</v>
      </c>
      <c r="J14" s="123">
        <f t="shared" si="1"/>
        <v>4.6450987094665601</v>
      </c>
      <c r="L14" s="211"/>
      <c r="M14" s="211"/>
    </row>
    <row r="15" spans="1:13" x14ac:dyDescent="0.3">
      <c r="A15" s="121" t="s">
        <v>85</v>
      </c>
      <c r="B15" s="122">
        <f>_xlfn.STDEV.S(B11:B14)</f>
        <v>3.2379398622384978</v>
      </c>
      <c r="C15" s="140" t="s">
        <v>88</v>
      </c>
      <c r="D15" s="140">
        <f>_xlfn.VAR.S(B11:B14)</f>
        <v>10.484254551473063</v>
      </c>
      <c r="G15" s="138" t="s">
        <v>89</v>
      </c>
      <c r="H15" s="211">
        <f>'Utt full B0'!B15-'Utt Mode B0'!B15</f>
        <v>-0.73090089000473979</v>
      </c>
      <c r="I15" s="137" t="s">
        <v>90</v>
      </c>
      <c r="J15" s="211">
        <f>'Utt Mode B0'!D15-'Utt full B0'!D15</f>
        <v>5.2674423651936042</v>
      </c>
    </row>
    <row r="16" spans="1:13" x14ac:dyDescent="0.3">
      <c r="A16" s="121" t="s">
        <v>86</v>
      </c>
      <c r="B16" s="122">
        <f>AVERAGE(B11:B14)</f>
        <v>-1.9602378076524671</v>
      </c>
      <c r="C16" s="121"/>
      <c r="D16" s="121"/>
      <c r="G16" s="121" t="s">
        <v>95</v>
      </c>
      <c r="H16" s="211">
        <f>'Utt full B0'!B16-'Utt Mode B0'!B16</f>
        <v>-3.4709878076524672</v>
      </c>
    </row>
    <row r="17" spans="1:6" ht="33.6" customHeight="1" x14ac:dyDescent="0.3">
      <c r="A17" s="121"/>
      <c r="B17" s="121"/>
      <c r="C17" s="121"/>
      <c r="D17" s="121"/>
    </row>
    <row r="18" spans="1:6" ht="33.6" customHeight="1" x14ac:dyDescent="0.3">
      <c r="B18" s="122" t="s">
        <v>109</v>
      </c>
      <c r="C18" s="122" t="s">
        <v>110</v>
      </c>
      <c r="D18" s="122" t="s">
        <v>111</v>
      </c>
      <c r="E18" s="121" t="s">
        <v>112</v>
      </c>
      <c r="F18" s="121" t="s">
        <v>105</v>
      </c>
    </row>
    <row r="19" spans="1:6" ht="33.6" customHeight="1" x14ac:dyDescent="0.3">
      <c r="A19" s="144">
        <v>-2</v>
      </c>
      <c r="B19" s="122">
        <f>$B$3+$B$11*$A19</f>
        <v>6.5242021394321252</v>
      </c>
      <c r="C19" s="122">
        <f>$B$4+$B$12*$A19</f>
        <v>11.268274828853675</v>
      </c>
      <c r="D19" s="122">
        <f>$B$5+$B$13*$A19</f>
        <v>1.1834422334761689</v>
      </c>
      <c r="E19" s="122">
        <f>$B$6+$B$14*$A19</f>
        <v>-2.06452295870191</v>
      </c>
      <c r="F19" s="122">
        <f>$B$8+$B$16*$A19</f>
        <v>4.2278490607650152</v>
      </c>
    </row>
    <row r="20" spans="1:6" ht="33.6" customHeight="1" x14ac:dyDescent="0.3">
      <c r="A20" s="144">
        <v>2</v>
      </c>
      <c r="B20" s="122">
        <f>$B$3+$B$11*$A20</f>
        <v>-7.3614056229220743</v>
      </c>
      <c r="C20" s="122">
        <f>$B$4+$B$12*$A20</f>
        <v>-11.158431373172403</v>
      </c>
      <c r="D20" s="122">
        <f>$B$5+$B$13*$A20</f>
        <v>-0.87855491421586285</v>
      </c>
      <c r="E20" s="122">
        <f>$B$5+$B$14*$A20</f>
        <v>3.6576967544465728</v>
      </c>
      <c r="F20" s="122">
        <f>$B$8+$B$16*$A20</f>
        <v>-3.6131021698448533</v>
      </c>
    </row>
    <row r="21" spans="1:6" ht="33.6" customHeight="1" x14ac:dyDescent="0.3"/>
    <row r="23" spans="1:6" x14ac:dyDescent="0.3">
      <c r="B23" s="122" t="str">
        <f>B18</f>
        <v>MDC (mode-and-phon)</v>
      </c>
      <c r="C23" s="122" t="str">
        <f t="shared" ref="C23:E23" si="2">C18</f>
        <v>MWH (mode-and-phon)</v>
      </c>
      <c r="D23" s="122" t="str">
        <f t="shared" si="2"/>
        <v>MYN (mode-and-phon)</v>
      </c>
      <c r="E23" s="122" t="str">
        <f t="shared" si="2"/>
        <v>MDQ (mode-and-phon)</v>
      </c>
      <c r="F23" s="121" t="s">
        <v>106</v>
      </c>
    </row>
    <row r="24" spans="1:6" x14ac:dyDescent="0.3">
      <c r="A24" s="144">
        <v>-2</v>
      </c>
      <c r="B24" s="122">
        <f>$B$3</f>
        <v>-0.418601741744975</v>
      </c>
      <c r="C24" s="122">
        <f>$B$4</f>
        <v>5.4921727840636599E-2</v>
      </c>
      <c r="D24" s="122">
        <f>$B$5</f>
        <v>0.15244365963015299</v>
      </c>
      <c r="E24" s="122">
        <f>$B$6</f>
        <v>1.44073013611451</v>
      </c>
      <c r="F24" s="122">
        <f>B8</f>
        <v>0.30737344546008116</v>
      </c>
    </row>
    <row r="25" spans="1:6" x14ac:dyDescent="0.3">
      <c r="A25" s="144">
        <v>2</v>
      </c>
      <c r="B25" s="122">
        <f>$B$3</f>
        <v>-0.418601741744975</v>
      </c>
      <c r="C25" s="122">
        <f>$B$4</f>
        <v>5.4921727840636599E-2</v>
      </c>
      <c r="D25" s="122">
        <f>$B$5</f>
        <v>0.15244365963015299</v>
      </c>
      <c r="E25" s="122">
        <f>$B$6</f>
        <v>1.44073013611451</v>
      </c>
      <c r="F25" s="122">
        <f>B8</f>
        <v>0.30737344546008116</v>
      </c>
    </row>
    <row r="26" spans="1:6" x14ac:dyDescent="0.3">
      <c r="A26" s="121"/>
      <c r="B26" s="121"/>
      <c r="C26" s="121"/>
      <c r="D26" s="121"/>
    </row>
    <row r="27" spans="1:6" x14ac:dyDescent="0.3">
      <c r="A27" s="121"/>
      <c r="B27" s="121"/>
      <c r="C27" s="121"/>
      <c r="D27" s="121"/>
    </row>
    <row r="28" spans="1:6" x14ac:dyDescent="0.3">
      <c r="A28" s="121"/>
      <c r="B28" s="121"/>
      <c r="C28" s="121"/>
      <c r="D28" s="121"/>
    </row>
    <row r="29" spans="1:6" x14ac:dyDescent="0.3">
      <c r="A29" s="121"/>
      <c r="B29" s="121"/>
      <c r="C29" s="121"/>
      <c r="D29" s="121"/>
    </row>
    <row r="30" spans="1:6" x14ac:dyDescent="0.3">
      <c r="C30" s="121"/>
      <c r="D30" s="121"/>
    </row>
    <row r="31" spans="1:6" x14ac:dyDescent="0.3">
      <c r="C31" s="121"/>
      <c r="D31" s="121"/>
    </row>
    <row r="32" spans="1:6" x14ac:dyDescent="0.3">
      <c r="C32" s="121"/>
      <c r="D32" s="121"/>
    </row>
    <row r="33" spans="3:4" x14ac:dyDescent="0.3">
      <c r="C33" s="121"/>
      <c r="D33" s="121"/>
    </row>
  </sheetData>
  <conditionalFormatting sqref="I3:I4">
    <cfRule type="containsText" dxfId="57" priority="12" stopIfTrue="1" operator="containsText" text="p&lt;0.0001">
      <formula>NOT(ISERROR(SEARCH("p&lt;0.0001",I3)))</formula>
    </cfRule>
    <cfRule type="containsText" dxfId="56" priority="17" stopIfTrue="1" operator="containsText" text="p&lt;0.001">
      <formula>NOT(ISERROR(SEARCH("p&lt;0.001",I3)))</formula>
    </cfRule>
    <cfRule type="containsText" dxfId="55" priority="18" stopIfTrue="1" operator="containsText" text="p&lt;0.01">
      <formula>NOT(ISERROR(SEARCH("p&lt;0.01",I3)))</formula>
    </cfRule>
    <cfRule type="containsText" dxfId="54" priority="19" stopIfTrue="1" operator="containsText" text="p&lt;0.05">
      <formula>NOT(ISERROR(SEARCH("p&lt;0.05",I3)))</formula>
    </cfRule>
    <cfRule type="containsText" dxfId="53" priority="20" stopIfTrue="1" operator="containsText" text="p&lt;0.1">
      <formula>NOT(ISERROR(SEARCH("p&lt;0.1",I3)))</formula>
    </cfRule>
  </conditionalFormatting>
  <conditionalFormatting sqref="I5:I6">
    <cfRule type="containsText" dxfId="52" priority="11" stopIfTrue="1" operator="containsText" text="p&lt;0.0001">
      <formula>NOT(ISERROR(SEARCH("p&lt;0.0001",I5)))</formula>
    </cfRule>
    <cfRule type="containsText" dxfId="51" priority="13" stopIfTrue="1" operator="containsText" text="p&lt;0.001">
      <formula>NOT(ISERROR(SEARCH("p&lt;0.001",I5)))</formula>
    </cfRule>
    <cfRule type="containsText" dxfId="50" priority="14" stopIfTrue="1" operator="containsText" text="p&lt;0.01">
      <formula>NOT(ISERROR(SEARCH("p&lt;0.01",I5)))</formula>
    </cfRule>
    <cfRule type="containsText" dxfId="49" priority="15" stopIfTrue="1" operator="containsText" text="p&lt;0.05">
      <formula>NOT(ISERROR(SEARCH("p&lt;0.05",I5)))</formula>
    </cfRule>
    <cfRule type="containsText" dxfId="48" priority="16" stopIfTrue="1" operator="containsText" text="p&lt;0.1">
      <formula>NOT(ISERROR(SEARCH("p&lt;0.1",I5)))</formula>
    </cfRule>
  </conditionalFormatting>
  <conditionalFormatting sqref="I11:I12">
    <cfRule type="containsText" dxfId="47" priority="2" stopIfTrue="1" operator="containsText" text="p&lt;0.0001">
      <formula>NOT(ISERROR(SEARCH("p&lt;0.0001",I11)))</formula>
    </cfRule>
    <cfRule type="containsText" dxfId="46" priority="7" stopIfTrue="1" operator="containsText" text="p&lt;0.001">
      <formula>NOT(ISERROR(SEARCH("p&lt;0.001",I11)))</formula>
    </cfRule>
    <cfRule type="containsText" dxfId="45" priority="8" stopIfTrue="1" operator="containsText" text="p&lt;0.01">
      <formula>NOT(ISERROR(SEARCH("p&lt;0.01",I11)))</formula>
    </cfRule>
    <cfRule type="containsText" dxfId="44" priority="9" stopIfTrue="1" operator="containsText" text="p&lt;0.05">
      <formula>NOT(ISERROR(SEARCH("p&lt;0.05",I11)))</formula>
    </cfRule>
    <cfRule type="containsText" dxfId="43" priority="10" stopIfTrue="1" operator="containsText" text="p&lt;0.1">
      <formula>NOT(ISERROR(SEARCH("p&lt;0.1",I11)))</formula>
    </cfRule>
  </conditionalFormatting>
  <conditionalFormatting sqref="I13:I14">
    <cfRule type="containsText" dxfId="42" priority="1" stopIfTrue="1" operator="containsText" text="p&lt;0.0001">
      <formula>NOT(ISERROR(SEARCH("p&lt;0.0001",I13)))</formula>
    </cfRule>
    <cfRule type="containsText" dxfId="41" priority="3" stopIfTrue="1" operator="containsText" text="p&lt;0.001">
      <formula>NOT(ISERROR(SEARCH("p&lt;0.001",I13)))</formula>
    </cfRule>
    <cfRule type="containsText" dxfId="40" priority="4" stopIfTrue="1" operator="containsText" text="p&lt;0.01">
      <formula>NOT(ISERROR(SEARCH("p&lt;0.01",I13)))</formula>
    </cfRule>
    <cfRule type="containsText" dxfId="39" priority="5" stopIfTrue="1" operator="containsText" text="p&lt;0.05">
      <formula>NOT(ISERROR(SEARCH("p&lt;0.05",I13)))</formula>
    </cfRule>
    <cfRule type="containsText" dxfId="38" priority="6" stopIfTrue="1" operator="containsText" text="p&lt;0.1">
      <formula>NOT(ISERROR(SEARCH("p&lt;0.1",I13)))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C695-1359-41F6-906C-23ADEA1D986A}">
  <dimension ref="A1:K22"/>
  <sheetViews>
    <sheetView showGridLines="0" zoomScale="90" zoomScaleNormal="90" workbookViewId="0">
      <selection activeCell="R20" sqref="R20"/>
    </sheetView>
  </sheetViews>
  <sheetFormatPr defaultColWidth="8.88671875" defaultRowHeight="14.4" x14ac:dyDescent="0.3"/>
  <cols>
    <col min="1" max="1" width="14.109375" style="144" bestFit="1" customWidth="1"/>
    <col min="2" max="2" width="7.109375" style="144" customWidth="1"/>
    <col min="3" max="3" width="12.6640625" style="144" customWidth="1"/>
    <col min="4" max="4" width="11.109375" style="144" customWidth="1"/>
    <col min="5" max="6" width="11.33203125" style="144" customWidth="1"/>
    <col min="7" max="7" width="12.5546875" style="144" customWidth="1"/>
    <col min="8" max="8" width="11.44140625" style="144" customWidth="1"/>
    <col min="9" max="9" width="11.6640625" style="144" customWidth="1"/>
    <col min="10" max="10" width="10.33203125" style="144" customWidth="1"/>
    <col min="11" max="16384" width="8.88671875" style="144"/>
  </cols>
  <sheetData>
    <row r="1" spans="1:11" ht="30" thickBot="1" x14ac:dyDescent="0.35">
      <c r="A1" s="136" t="s">
        <v>55</v>
      </c>
    </row>
    <row r="2" spans="1:11" ht="25.2" customHeight="1" thickTop="1" thickBot="1" x14ac:dyDescent="0.35">
      <c r="A2" s="132" t="s">
        <v>60</v>
      </c>
      <c r="B2" s="132" t="s">
        <v>20</v>
      </c>
      <c r="C2" s="132" t="s">
        <v>123</v>
      </c>
      <c r="D2" s="132" t="s">
        <v>61</v>
      </c>
      <c r="E2" s="132" t="s">
        <v>62</v>
      </c>
      <c r="F2" s="132" t="s">
        <v>5</v>
      </c>
      <c r="G2" s="132" t="s">
        <v>50</v>
      </c>
      <c r="H2" s="132" t="s">
        <v>9</v>
      </c>
      <c r="I2" s="133" t="s">
        <v>49</v>
      </c>
      <c r="J2" s="132" t="s">
        <v>47</v>
      </c>
      <c r="K2" s="148" t="s">
        <v>64</v>
      </c>
    </row>
    <row r="3" spans="1:11" ht="33.6" customHeight="1" thickTop="1" thickBot="1" x14ac:dyDescent="0.35">
      <c r="A3" s="131" t="s">
        <v>14</v>
      </c>
      <c r="B3" s="129" t="s">
        <v>15</v>
      </c>
      <c r="C3" s="131">
        <f>[38]utt_f0_mode_only_b1!C2</f>
        <v>0.47378459260777001</v>
      </c>
      <c r="D3" s="129">
        <f>[38]utt_f0_mode_only_b1!D2</f>
        <v>-0.21728530041517399</v>
      </c>
      <c r="E3" s="129">
        <f>[38]utt_f0_mode_only_b1!E2</f>
        <v>1.1648544856307099</v>
      </c>
      <c r="F3" s="129">
        <f>[38]utt_f0_mode_only_b1!F2</f>
        <v>0.31042696039187001</v>
      </c>
      <c r="G3" s="129">
        <f>[38]utt_f0_mode_only_b1!G2</f>
        <v>1.5262353244372899</v>
      </c>
      <c r="H3" s="130">
        <f>[38]utt_f0_mode_only_b1!H2</f>
        <v>10.0649438716158</v>
      </c>
      <c r="I3" s="212">
        <f>[38]utt_f0_mode_only_b1!I2</f>
        <v>0.15774188884117299</v>
      </c>
      <c r="J3" s="269" t="str">
        <f>IF(I3&lt;0.001, "p &lt; .001", _xlfn.CONCAT("p = ", REPLACE(ROUND(I3, 3),1,2,".")))</f>
        <v>p = .158</v>
      </c>
      <c r="K3" s="149">
        <f t="shared" ref="K3:K8" si="0">C3-D3</f>
        <v>0.69106989302294397</v>
      </c>
    </row>
    <row r="4" spans="1:11" ht="33.6" customHeight="1" thickBot="1" x14ac:dyDescent="0.35">
      <c r="A4" s="128" t="s">
        <v>14</v>
      </c>
      <c r="B4" s="126" t="s">
        <v>16</v>
      </c>
      <c r="C4" s="128">
        <f>[38]utt_f0_mode_only_b1!C3</f>
        <v>0.76097638133650203</v>
      </c>
      <c r="D4" s="126">
        <f>[38]utt_f0_mode_only_b1!D3</f>
        <v>0.20657533600459099</v>
      </c>
      <c r="E4" s="126">
        <f>[38]utt_f0_mode_only_b1!E3</f>
        <v>1.31537742666841</v>
      </c>
      <c r="F4" s="126">
        <f>[38]utt_f0_mode_only_b1!F3</f>
        <v>0.249012898987129</v>
      </c>
      <c r="G4" s="126">
        <f>[38]utt_f0_mode_only_b1!G3</f>
        <v>3.05597173653174</v>
      </c>
      <c r="H4" s="127">
        <f>[38]utt_f0_mode_only_b1!H3</f>
        <v>10.058119813279999</v>
      </c>
      <c r="I4" s="278">
        <f>[38]utt_f0_mode_only_b1!I3</f>
        <v>1.20498765328992E-2</v>
      </c>
      <c r="J4" s="128" t="str">
        <f t="shared" ref="J4:J9" si="1">IF(I4&lt;0.001, "p &lt; .001", _xlfn.CONCAT("p = ", REPLACE(ROUND(I4, 3),1,2,".")))</f>
        <v>p = .012</v>
      </c>
      <c r="K4" s="149">
        <f t="shared" si="0"/>
        <v>0.55440104533191104</v>
      </c>
    </row>
    <row r="5" spans="1:11" ht="33.6" customHeight="1" thickBot="1" x14ac:dyDescent="0.35">
      <c r="A5" s="128" t="s">
        <v>14</v>
      </c>
      <c r="B5" s="126" t="s">
        <v>17</v>
      </c>
      <c r="C5" s="128">
        <f>[38]utt_f0_mode_only_b1!C4</f>
        <v>2.1973305450155798</v>
      </c>
      <c r="D5" s="126">
        <f>[38]utt_f0_mode_only_b1!D4</f>
        <v>1.27086356211134</v>
      </c>
      <c r="E5" s="126">
        <f>[38]utt_f0_mode_only_b1!E4</f>
        <v>3.1237975279198298</v>
      </c>
      <c r="F5" s="126">
        <f>[38]utt_f0_mode_only_b1!F4</f>
        <v>0.41598701688430001</v>
      </c>
      <c r="G5" s="126">
        <f>[38]utt_f0_mode_only_b1!G4</f>
        <v>5.2822094340188004</v>
      </c>
      <c r="H5" s="127">
        <f>[38]utt_f0_mode_only_b1!H4</f>
        <v>10.032741801900899</v>
      </c>
      <c r="I5" s="278">
        <f>[38]utt_f0_mode_only_b1!I4</f>
        <v>3.5265421460791102E-4</v>
      </c>
      <c r="J5" s="128" t="str">
        <f t="shared" si="1"/>
        <v>p &lt; .001</v>
      </c>
      <c r="K5" s="149">
        <f t="shared" si="0"/>
        <v>0.92646698290423979</v>
      </c>
    </row>
    <row r="6" spans="1:11" ht="33.6" customHeight="1" thickBot="1" x14ac:dyDescent="0.35">
      <c r="A6" s="128" t="s">
        <v>15</v>
      </c>
      <c r="B6" s="126" t="s">
        <v>16</v>
      </c>
      <c r="C6" s="128">
        <f>[38]utt_f0_mode_only_b1!C5</f>
        <v>0.28719182728667603</v>
      </c>
      <c r="D6" s="126">
        <f>[38]utt_f0_mode_only_b1!D5</f>
        <v>-0.27619536483468599</v>
      </c>
      <c r="E6" s="126">
        <f>[38]utt_f0_mode_only_b1!E5</f>
        <v>0.85057901940803904</v>
      </c>
      <c r="F6" s="126">
        <f>[38]utt_f0_mode_only_b1!F5</f>
        <v>0.25278098060920201</v>
      </c>
      <c r="G6" s="126">
        <f>[38]utt_f0_mode_only_b1!G5</f>
        <v>1.13612909719134</v>
      </c>
      <c r="H6" s="127">
        <f>[38]utt_f0_mode_only_b1!H5</f>
        <v>9.9796043361084799</v>
      </c>
      <c r="I6" s="278">
        <f>[38]utt_f0_mode_only_b1!I5</f>
        <v>0.28244939184700601</v>
      </c>
      <c r="J6" s="128" t="str">
        <f t="shared" si="1"/>
        <v>p = .282</v>
      </c>
      <c r="K6" s="149">
        <f t="shared" si="0"/>
        <v>0.56338719212136201</v>
      </c>
    </row>
    <row r="7" spans="1:11" ht="33.6" customHeight="1" thickBot="1" x14ac:dyDescent="0.35">
      <c r="A7" s="128" t="s">
        <v>15</v>
      </c>
      <c r="B7" s="126" t="s">
        <v>17</v>
      </c>
      <c r="C7" s="128">
        <f>[38]utt_f0_mode_only_b1!C6</f>
        <v>1.72354596224421</v>
      </c>
      <c r="D7" s="126">
        <f>[38]utt_f0_mode_only_b1!D6</f>
        <v>0.38656275856772898</v>
      </c>
      <c r="E7" s="126">
        <f>[38]utt_f0_mode_only_b1!E6</f>
        <v>3.0605291659206899</v>
      </c>
      <c r="F7" s="126">
        <f>[38]utt_f0_mode_only_b1!F6</f>
        <v>0.60018298528295</v>
      </c>
      <c r="G7" s="126">
        <f>[38]utt_f0_mode_only_b1!G6</f>
        <v>2.87170080543296</v>
      </c>
      <c r="H7" s="127">
        <f>[38]utt_f0_mode_only_b1!H6</f>
        <v>10.0170141611785</v>
      </c>
      <c r="I7" s="278">
        <f>[38]utt_f0_mode_only_b1!I6</f>
        <v>1.6593160095756999E-2</v>
      </c>
      <c r="J7" s="128" t="str">
        <f t="shared" si="1"/>
        <v>p = .017</v>
      </c>
      <c r="K7" s="149">
        <f t="shared" si="0"/>
        <v>1.336983203676481</v>
      </c>
    </row>
    <row r="8" spans="1:11" ht="33" customHeight="1" thickBot="1" x14ac:dyDescent="0.35">
      <c r="A8" s="125" t="s">
        <v>16</v>
      </c>
      <c r="B8" s="123" t="s">
        <v>17</v>
      </c>
      <c r="C8" s="125">
        <f>[38]utt_f0_mode_only_b1!C7</f>
        <v>1.4363541724389</v>
      </c>
      <c r="D8" s="123">
        <f>[38]utt_f0_mode_only_b1!D7</f>
        <v>0.173747886383984</v>
      </c>
      <c r="E8" s="123">
        <f>[38]utt_f0_mode_only_b1!E7</f>
        <v>2.6989604584938198</v>
      </c>
      <c r="F8" s="123">
        <f>[38]utt_f0_mode_only_b1!F7</f>
        <v>0.56700865353228602</v>
      </c>
      <c r="G8" s="123">
        <f>[38]utt_f0_mode_only_b1!G7</f>
        <v>2.5332138468978602</v>
      </c>
      <c r="H8" s="124">
        <f>[38]utt_f0_mode_only_b1!H7</f>
        <v>10.045057726456999</v>
      </c>
      <c r="I8" s="279">
        <f>[38]utt_f0_mode_only_b1!I7</f>
        <v>2.9612571688781501E-2</v>
      </c>
      <c r="J8" s="125" t="str">
        <f t="shared" si="1"/>
        <v>p = .03</v>
      </c>
      <c r="K8" s="149">
        <f t="shared" si="0"/>
        <v>1.2626062860549159</v>
      </c>
    </row>
    <row r="9" spans="1:11" ht="33" customHeight="1" thickBot="1" x14ac:dyDescent="0.35">
      <c r="A9" s="125" t="s">
        <v>120</v>
      </c>
      <c r="B9" s="123" t="s">
        <v>121</v>
      </c>
      <c r="C9" s="125">
        <f>[38]utt_f0_mode_only_b1!C8</f>
        <v>0.126</v>
      </c>
      <c r="D9" s="123">
        <f>[38]utt_f0_mode_only_b1!D8</f>
        <v>-0.16947081719958801</v>
      </c>
      <c r="E9" s="123">
        <f>[38]utt_f0_mode_only_b1!E8</f>
        <v>0.42068783151473998</v>
      </c>
      <c r="F9" s="123">
        <f>[38]utt_f0_mode_only_b1!F8</f>
        <v>0.13100000000000001</v>
      </c>
      <c r="G9" s="123">
        <f>[38]utt_f0_mode_only_b1!G8</f>
        <v>0.96199999999999997</v>
      </c>
      <c r="H9" s="124">
        <f>[38]utt_f0_mode_only_b1!H8</f>
        <v>9.07</v>
      </c>
      <c r="I9" s="279">
        <f>[38]utt_f0_mode_only_b1!I8</f>
        <v>0.36105768886178802</v>
      </c>
      <c r="J9" s="125" t="str">
        <f t="shared" si="1"/>
        <v>p = .361</v>
      </c>
      <c r="K9" s="149">
        <f t="shared" ref="K9" si="2">C9-D9</f>
        <v>0.29547081719958801</v>
      </c>
    </row>
    <row r="10" spans="1:11" x14ac:dyDescent="0.3">
      <c r="A10" s="121" t="s">
        <v>85</v>
      </c>
      <c r="B10" s="122">
        <f>_xlfn.STDEV.S(C3:C8)</f>
        <v>0.75641619868054844</v>
      </c>
      <c r="D10" s="144" t="s">
        <v>88</v>
      </c>
      <c r="E10" s="210">
        <f>_xlfn.VAR.S(C3:C8)</f>
        <v>0.57216546562633097</v>
      </c>
    </row>
    <row r="11" spans="1:11" x14ac:dyDescent="0.3">
      <c r="A11" s="121" t="s">
        <v>86</v>
      </c>
      <c r="B11" s="209">
        <f>AVERAGE(C3:C8)</f>
        <v>1.1465305801549397</v>
      </c>
    </row>
    <row r="12" spans="1:11" ht="33" customHeight="1" thickBot="1" x14ac:dyDescent="0.35">
      <c r="A12" s="136" t="s">
        <v>54</v>
      </c>
    </row>
    <row r="13" spans="1:11" ht="25.2" customHeight="1" thickTop="1" thickBot="1" x14ac:dyDescent="0.35">
      <c r="A13" s="132" t="str">
        <f>[33]utt_slope_b1!A1</f>
        <v>intercept</v>
      </c>
      <c r="B13" s="132" t="str">
        <f>[33]utt_slope_b1!B1</f>
        <v>slope</v>
      </c>
      <c r="C13" s="132" t="s">
        <v>124</v>
      </c>
      <c r="D13" s="132" t="str">
        <f>[33]utt_slope_b1!D1</f>
        <v>conf.low</v>
      </c>
      <c r="E13" s="132" t="str">
        <f>[33]utt_slope_b1!E1</f>
        <v>conf.high</v>
      </c>
      <c r="F13" s="132" t="str">
        <f>[33]utt_slope_b1!F1</f>
        <v>std.error</v>
      </c>
      <c r="G13" s="132" t="str">
        <f>[33]utt_slope_b1!G1</f>
        <v>t.value</v>
      </c>
      <c r="H13" s="132" t="str">
        <f>[33]utt_slope_b1!H1</f>
        <v>df</v>
      </c>
      <c r="I13" s="133" t="str">
        <f>[33]utt_slope_b1!I1</f>
        <v>p.value</v>
      </c>
      <c r="J13" s="132" t="str">
        <f>[33]utt_slope_b1!K1</f>
        <v>signif.</v>
      </c>
      <c r="K13" s="148" t="s">
        <v>64</v>
      </c>
    </row>
    <row r="14" spans="1:11" ht="33.6" customHeight="1" thickTop="1" thickBot="1" x14ac:dyDescent="0.35">
      <c r="A14" s="131" t="s">
        <v>14</v>
      </c>
      <c r="B14" s="129" t="s">
        <v>15</v>
      </c>
      <c r="C14" s="129">
        <f>[39]utt_slope_mode_only_b1!C2</f>
        <v>-2.42388123109864</v>
      </c>
      <c r="D14" s="129">
        <f>[39]utt_slope_mode_only_b1!D2</f>
        <v>-5.1639179054579003</v>
      </c>
      <c r="E14" s="129">
        <f>[39]utt_slope_mode_only_b1!E2</f>
        <v>0.31615544326061301</v>
      </c>
      <c r="F14" s="129">
        <f>[39]utt_slope_mode_only_b1!F2</f>
        <v>1.22966142177376</v>
      </c>
      <c r="G14" s="129">
        <f>[39]utt_slope_mode_only_b1!G2</f>
        <v>-1.97117774712508</v>
      </c>
      <c r="H14" s="129">
        <f>[39]utt_slope_mode_only_b1!H2</f>
        <v>9.9951482064782198</v>
      </c>
      <c r="I14" s="212">
        <f>[39]utt_slope_mode_only_b1!I2</f>
        <v>7.7007575189590199E-2</v>
      </c>
      <c r="J14" s="131" t="str">
        <f t="shared" ref="J14:J20" si="3">IF(I14&lt;0.001, "p &lt; .001", _xlfn.CONCAT("p = ", REPLACE(ROUND(I14, 3),1,2,".")))</f>
        <v>p = .077</v>
      </c>
      <c r="K14" s="149">
        <f t="shared" ref="K14:K20" si="4">C14-D14</f>
        <v>2.7400366743592603</v>
      </c>
    </row>
    <row r="15" spans="1:11" ht="33.6" customHeight="1" thickBot="1" x14ac:dyDescent="0.35">
      <c r="A15" s="128" t="s">
        <v>14</v>
      </c>
      <c r="B15" s="126" t="s">
        <v>16</v>
      </c>
      <c r="C15" s="126">
        <f>[39]utt_slope_mode_only_b1!C3</f>
        <v>3.5497518552582199</v>
      </c>
      <c r="D15" s="126">
        <f>[39]utt_slope_mode_only_b1!D3</f>
        <v>1.68894791918596</v>
      </c>
      <c r="E15" s="126">
        <f>[39]utt_slope_mode_only_b1!E3</f>
        <v>5.4105557913304798</v>
      </c>
      <c r="F15" s="126">
        <f>[39]utt_slope_mode_only_b1!F3</f>
        <v>0.83497041187126297</v>
      </c>
      <c r="G15" s="126">
        <f>[39]utt_slope_mode_only_b1!G3</f>
        <v>4.2513504727704303</v>
      </c>
      <c r="H15" s="146">
        <f>[39]utt_slope_mode_only_b1!H3</f>
        <v>9.9851969944974392</v>
      </c>
      <c r="I15" s="278">
        <f>[39]utt_slope_mode_only_b1!I3</f>
        <v>1.6915227726735701E-3</v>
      </c>
      <c r="J15" s="128" t="str">
        <f t="shared" si="3"/>
        <v>p = .002</v>
      </c>
      <c r="K15" s="149">
        <f t="shared" si="4"/>
        <v>1.8608039360722599</v>
      </c>
    </row>
    <row r="16" spans="1:11" ht="33.6" customHeight="1" thickBot="1" x14ac:dyDescent="0.35">
      <c r="A16" s="128" t="s">
        <v>14</v>
      </c>
      <c r="B16" s="126" t="s">
        <v>17</v>
      </c>
      <c r="C16" s="126">
        <f>[39]utt_slope_mode_only_b1!C4</f>
        <v>6.60866325868583</v>
      </c>
      <c r="D16" s="126">
        <f>[39]utt_slope_mode_only_b1!D4</f>
        <v>4.03872758741079</v>
      </c>
      <c r="E16" s="126">
        <f>[39]utt_slope_mode_only_b1!E4</f>
        <v>9.1785989299608701</v>
      </c>
      <c r="F16" s="126">
        <f>[39]utt_slope_mode_only_b1!F4</f>
        <v>1.1546821263600899</v>
      </c>
      <c r="G16" s="126">
        <f>[39]utt_slope_mode_only_b1!G4</f>
        <v>5.7233615276598702</v>
      </c>
      <c r="H16" s="146">
        <f>[39]utt_slope_mode_only_b1!H4</f>
        <v>10.0826677081455</v>
      </c>
      <c r="I16" s="278">
        <f>[39]utt_slope_mode_only_b1!I4</f>
        <v>1.86136087748461E-4</v>
      </c>
      <c r="J16" s="128" t="str">
        <f t="shared" si="3"/>
        <v>p &lt; .001</v>
      </c>
      <c r="K16" s="149">
        <f t="shared" si="4"/>
        <v>2.5699356712750401</v>
      </c>
    </row>
    <row r="17" spans="1:11" ht="33.6" customHeight="1" thickBot="1" x14ac:dyDescent="0.35">
      <c r="A17" s="128" t="s">
        <v>15</v>
      </c>
      <c r="B17" s="126" t="s">
        <v>16</v>
      </c>
      <c r="C17" s="126">
        <f>[39]utt_slope_mode_only_b1!C5</f>
        <v>5.9736332606028402</v>
      </c>
      <c r="D17" s="126">
        <f>[39]utt_slope_mode_only_b1!D5</f>
        <v>2.7990538276321999</v>
      </c>
      <c r="E17" s="126">
        <f>[39]utt_slope_mode_only_b1!E5</f>
        <v>9.1482126935734698</v>
      </c>
      <c r="F17" s="126">
        <f>[39]utt_slope_mode_only_b1!F5</f>
        <v>1.4247856711593501</v>
      </c>
      <c r="G17" s="126">
        <f>[39]utt_slope_mode_only_b1!G5</f>
        <v>4.1926539419378503</v>
      </c>
      <c r="H17" s="146">
        <f>[39]utt_slope_mode_only_b1!H5</f>
        <v>10.00095002622</v>
      </c>
      <c r="I17" s="278">
        <f>[39]utt_slope_mode_only_b1!I5</f>
        <v>1.84975937556112E-3</v>
      </c>
      <c r="J17" s="128" t="str">
        <f t="shared" si="3"/>
        <v>p = .002</v>
      </c>
      <c r="K17" s="149">
        <f t="shared" si="4"/>
        <v>3.1745794329706403</v>
      </c>
    </row>
    <row r="18" spans="1:11" ht="33.6" customHeight="1" thickBot="1" x14ac:dyDescent="0.35">
      <c r="A18" s="128" t="s">
        <v>15</v>
      </c>
      <c r="B18" s="126" t="s">
        <v>17</v>
      </c>
      <c r="C18" s="126">
        <f>[39]utt_slope_mode_only_b1!C6</f>
        <v>9.0325449853367594</v>
      </c>
      <c r="D18" s="126">
        <f>[39]utt_slope_mode_only_b1!D6</f>
        <v>5.1073784365764299</v>
      </c>
      <c r="E18" s="126">
        <f>[39]utt_slope_mode_only_b1!E6</f>
        <v>12.957711534096999</v>
      </c>
      <c r="F18" s="126">
        <f>[39]utt_slope_mode_only_b1!F6</f>
        <v>1.76225026124493</v>
      </c>
      <c r="G18" s="126">
        <f>[39]utt_slope_mode_only_b1!G6</f>
        <v>5.1255744907398997</v>
      </c>
      <c r="H18" s="146">
        <f>[39]utt_slope_mode_only_b1!H6</f>
        <v>10.0258476233798</v>
      </c>
      <c r="I18" s="278">
        <f>[39]utt_slope_mode_only_b1!I6</f>
        <v>4.4341100027380599E-4</v>
      </c>
      <c r="J18" s="128" t="str">
        <f t="shared" si="3"/>
        <v>p &lt; .001</v>
      </c>
      <c r="K18" s="149">
        <f t="shared" si="4"/>
        <v>3.9251665487603296</v>
      </c>
    </row>
    <row r="19" spans="1:11" ht="33.6" customHeight="1" thickBot="1" x14ac:dyDescent="0.35">
      <c r="A19" s="125" t="s">
        <v>16</v>
      </c>
      <c r="B19" s="123" t="s">
        <v>17</v>
      </c>
      <c r="C19" s="123">
        <f>[39]utt_slope_mode_only_b1!C7</f>
        <v>3.0589118485968601</v>
      </c>
      <c r="D19" s="123">
        <f>[39]utt_slope_mode_only_b1!D7</f>
        <v>1.2110793880900199</v>
      </c>
      <c r="E19" s="123">
        <f>[39]utt_slope_mode_only_b1!E7</f>
        <v>4.9067443091036997</v>
      </c>
      <c r="F19" s="123">
        <f>[39]utt_slope_mode_only_b1!F7</f>
        <v>0.828038061593664</v>
      </c>
      <c r="G19" s="123">
        <f>[39]utt_slope_mode_only_b1!G7</f>
        <v>3.6941681674748099</v>
      </c>
      <c r="H19" s="145">
        <f>[39]utt_slope_mode_only_b1!H7</f>
        <v>9.8875289692457606</v>
      </c>
      <c r="I19" s="279">
        <f>[39]utt_slope_mode_only_b1!I7</f>
        <v>4.2283106167244396E-3</v>
      </c>
      <c r="J19" s="125" t="str">
        <f t="shared" si="3"/>
        <v>p = .004</v>
      </c>
      <c r="K19" s="149">
        <f t="shared" si="4"/>
        <v>1.8478324605068401</v>
      </c>
    </row>
    <row r="20" spans="1:11" ht="33.6" customHeight="1" thickBot="1" x14ac:dyDescent="0.35">
      <c r="A20" s="125" t="s">
        <v>120</v>
      </c>
      <c r="B20" s="123" t="s">
        <v>121</v>
      </c>
      <c r="C20" s="123">
        <f>[39]utt_slope_mode_only_b1!C8</f>
        <v>1.454</v>
      </c>
      <c r="D20" s="123">
        <f>[39]utt_slope_mode_only_b1!D8</f>
        <v>0.34926829005161703</v>
      </c>
      <c r="E20" s="123">
        <f>[39]utt_slope_mode_only_b1!E8</f>
        <v>2.5589229280695598</v>
      </c>
      <c r="F20" s="123">
        <f>[39]utt_slope_mode_only_b1!F8</f>
        <v>0.48899999999999999</v>
      </c>
      <c r="G20" s="123">
        <f>[39]utt_slope_mode_only_b1!G8</f>
        <v>2.9740000000000002</v>
      </c>
      <c r="H20" s="124">
        <f>[39]utt_slope_mode_only_b1!H8</f>
        <v>9.07</v>
      </c>
      <c r="I20" s="279">
        <f>[39]utt_slope_mode_only_b1!I8</f>
        <v>1.5474208938682401E-2</v>
      </c>
      <c r="J20" s="125" t="str">
        <f>IF(I20&lt;0.001, "p &lt; .001", _xlfn.CONCAT("p = ", REPLACE(ROUND(I20, 3),1,2,".")))</f>
        <v>p = .015</v>
      </c>
      <c r="K20" s="149">
        <f t="shared" si="4"/>
        <v>1.1047317099483829</v>
      </c>
    </row>
    <row r="21" spans="1:11" x14ac:dyDescent="0.3">
      <c r="A21" s="121" t="s">
        <v>85</v>
      </c>
      <c r="B21" s="122">
        <f>_xlfn.STDEV.S(C14:C19)</f>
        <v>3.9456737633979548</v>
      </c>
      <c r="D21" s="144" t="s">
        <v>88</v>
      </c>
      <c r="E21" s="210">
        <f>_xlfn.VAR.S(C14:C19)</f>
        <v>15.568341447166981</v>
      </c>
    </row>
    <row r="22" spans="1:11" x14ac:dyDescent="0.3">
      <c r="A22" s="121" t="s">
        <v>86</v>
      </c>
      <c r="B22" s="209">
        <f>AVERAGE(C14:C19)</f>
        <v>4.2999373295636447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CA8E-E848-44A0-A07F-3774B53D2A5A}">
  <dimension ref="A1:L31"/>
  <sheetViews>
    <sheetView showGridLines="0" zoomScale="90" zoomScaleNormal="90" workbookViewId="0">
      <selection activeCell="U9" sqref="U9"/>
    </sheetView>
  </sheetViews>
  <sheetFormatPr defaultColWidth="8.88671875" defaultRowHeight="14.4" x14ac:dyDescent="0.3"/>
  <cols>
    <col min="1" max="1" width="14.109375" style="144" bestFit="1" customWidth="1"/>
    <col min="2" max="2" width="7.109375" style="144" customWidth="1"/>
    <col min="3" max="3" width="12.6640625" style="144" customWidth="1"/>
    <col min="4" max="4" width="11.109375" style="144" customWidth="1"/>
    <col min="5" max="6" width="11.33203125" style="144" customWidth="1"/>
    <col min="7" max="7" width="12.5546875" style="144" customWidth="1"/>
    <col min="8" max="8" width="11.44140625" style="144" customWidth="1"/>
    <col min="9" max="9" width="11.6640625" style="144" customWidth="1"/>
    <col min="10" max="10" width="10.33203125" style="144" customWidth="1"/>
    <col min="11" max="11" width="8.88671875" style="144"/>
    <col min="12" max="12" width="8.88671875" style="239"/>
    <col min="13" max="16384" width="8.88671875" style="144"/>
  </cols>
  <sheetData>
    <row r="1" spans="1:12" ht="30" thickBot="1" x14ac:dyDescent="0.35">
      <c r="A1" s="136" t="s">
        <v>55</v>
      </c>
      <c r="B1" s="143" t="s">
        <v>78</v>
      </c>
    </row>
    <row r="2" spans="1:12" ht="25.2" customHeight="1" thickTop="1" thickBot="1" x14ac:dyDescent="0.35">
      <c r="A2" s="132" t="s">
        <v>60</v>
      </c>
      <c r="B2" s="132" t="s">
        <v>20</v>
      </c>
      <c r="C2" s="132" t="s">
        <v>123</v>
      </c>
      <c r="D2" s="132" t="s">
        <v>61</v>
      </c>
      <c r="E2" s="132" t="s">
        <v>62</v>
      </c>
      <c r="F2" s="132" t="s">
        <v>5</v>
      </c>
      <c r="G2" s="132" t="s">
        <v>50</v>
      </c>
      <c r="H2" s="132" t="s">
        <v>9</v>
      </c>
      <c r="I2" s="133" t="s">
        <v>49</v>
      </c>
      <c r="J2" s="132" t="s">
        <v>47</v>
      </c>
      <c r="K2" s="148" t="s">
        <v>64</v>
      </c>
      <c r="L2" s="239" t="s">
        <v>118</v>
      </c>
    </row>
    <row r="3" spans="1:12" ht="33.6" customHeight="1" thickTop="1" thickBot="1" x14ac:dyDescent="0.35">
      <c r="A3" s="131" t="s">
        <v>14</v>
      </c>
      <c r="B3" s="129" t="s">
        <v>15</v>
      </c>
      <c r="C3" s="131">
        <f>[40]utt_f0_full_phon_b1!C2</f>
        <v>0.47338353537875799</v>
      </c>
      <c r="D3" s="129">
        <f>[40]utt_f0_full_phon_b1!D2</f>
        <v>-0.21075437199055699</v>
      </c>
      <c r="E3" s="129">
        <f>[40]utt_f0_full_phon_b1!E2</f>
        <v>1.15752144274807</v>
      </c>
      <c r="F3" s="129">
        <f>[40]utt_f0_full_phon_b1!F2</f>
        <v>0.30737960700505301</v>
      </c>
      <c r="G3" s="129">
        <f>[40]utt_f0_full_phon_b1!G2</f>
        <v>1.54006161954321</v>
      </c>
      <c r="H3" s="129">
        <f>[40]utt_f0_full_phon_b1!H2</f>
        <v>10.0811478232848</v>
      </c>
      <c r="I3" s="212">
        <f>[40]utt_f0_full_phon_b1!I2</f>
        <v>0.15432377110369699</v>
      </c>
      <c r="J3" s="269" t="str">
        <f>IF(I3&lt;0.001, "p &lt; .001", _xlfn.CONCAT("p = ", REPLACE(ROUND(I3, 3),1,2,".")))</f>
        <v>p = .154</v>
      </c>
      <c r="K3" s="149">
        <f t="shared" ref="K3:K9" si="0">C3-D3</f>
        <v>0.68413790736931501</v>
      </c>
      <c r="L3" s="240">
        <f>C3-'Utt B1'!C3</f>
        <v>-4.0105722901201402E-4</v>
      </c>
    </row>
    <row r="4" spans="1:12" ht="33.6" customHeight="1" thickBot="1" x14ac:dyDescent="0.35">
      <c r="A4" s="128" t="s">
        <v>14</v>
      </c>
      <c r="B4" s="126" t="s">
        <v>16</v>
      </c>
      <c r="C4" s="128">
        <f>[40]utt_f0_full_phon_b1!C3</f>
        <v>0.57088479025351102</v>
      </c>
      <c r="D4" s="126">
        <f>[40]utt_f0_full_phon_b1!D3</f>
        <v>9.0292408327498699E-2</v>
      </c>
      <c r="E4" s="126">
        <f>[40]utt_f0_full_phon_b1!E3</f>
        <v>1.05147717217952</v>
      </c>
      <c r="F4" s="126">
        <f>[40]utt_f0_full_phon_b1!F3</f>
        <v>0.217472204203733</v>
      </c>
      <c r="G4" s="126">
        <f>[40]utt_f0_full_phon_b1!G3</f>
        <v>2.6250931347469701</v>
      </c>
      <c r="H4" s="146">
        <f>[40]utt_f0_full_phon_b1!H3</f>
        <v>10.6477098965512</v>
      </c>
      <c r="I4" s="278">
        <f>[40]utt_f0_full_phon_b1!I3</f>
        <v>2.4191666042288101E-2</v>
      </c>
      <c r="J4" s="128" t="str">
        <f t="shared" ref="J4:J9" si="1">IF(I4&lt;0.001, "p &lt; .001", _xlfn.CONCAT("p = ", REPLACE(ROUND(I4, 3),1,2,".")))</f>
        <v>p = .024</v>
      </c>
      <c r="K4" s="149">
        <f t="shared" si="0"/>
        <v>0.48059238192601234</v>
      </c>
      <c r="L4" s="240">
        <f>C4-'Utt B1'!C4</f>
        <v>-0.19009159108299101</v>
      </c>
    </row>
    <row r="5" spans="1:12" ht="33.6" customHeight="1" thickBot="1" x14ac:dyDescent="0.35">
      <c r="A5" s="128" t="s">
        <v>14</v>
      </c>
      <c r="B5" s="126" t="s">
        <v>17</v>
      </c>
      <c r="C5" s="128">
        <f>[40]utt_f0_full_phon_b1!C4</f>
        <v>1.8592129521480001</v>
      </c>
      <c r="D5" s="126">
        <f>[40]utt_f0_full_phon_b1!D4</f>
        <v>0.94887990850563797</v>
      </c>
      <c r="E5" s="126">
        <f>[40]utt_f0_full_phon_b1!E4</f>
        <v>2.7695459957903701</v>
      </c>
      <c r="F5" s="126">
        <f>[40]utt_f0_full_phon_b1!F4</f>
        <v>0.41447099115812303</v>
      </c>
      <c r="G5" s="126">
        <f>[40]utt_f0_full_phon_b1!G4</f>
        <v>4.48574928477613</v>
      </c>
      <c r="H5" s="146">
        <f>[40]utt_f0_full_phon_b1!H4</f>
        <v>11.1925886477079</v>
      </c>
      <c r="I5" s="278">
        <f>[40]utt_f0_full_phon_b1!I4</f>
        <v>8.8393102122387695E-4</v>
      </c>
      <c r="J5" s="128" t="str">
        <f t="shared" si="1"/>
        <v>p &lt; .001</v>
      </c>
      <c r="K5" s="149">
        <f t="shared" si="0"/>
        <v>0.91033304364236212</v>
      </c>
      <c r="L5" s="240">
        <f>C5-'Utt B1'!C5</f>
        <v>-0.3381175928675797</v>
      </c>
    </row>
    <row r="6" spans="1:12" ht="33.6" customHeight="1" thickBot="1" x14ac:dyDescent="0.35">
      <c r="A6" s="128" t="s">
        <v>15</v>
      </c>
      <c r="B6" s="126" t="s">
        <v>16</v>
      </c>
      <c r="C6" s="128">
        <f>[40]utt_f0_full_phon_b1!C5</f>
        <v>9.7513351019307901E-2</v>
      </c>
      <c r="D6" s="126">
        <f>[40]utt_f0_full_phon_b1!D5</f>
        <v>-0.44045146063048901</v>
      </c>
      <c r="E6" s="126">
        <f>[40]utt_f0_full_phon_b1!E5</f>
        <v>0.63547816266910395</v>
      </c>
      <c r="F6" s="126">
        <f>[40]utt_f0_full_phon_b1!F5</f>
        <v>0.243221491264597</v>
      </c>
      <c r="G6" s="126">
        <f>[40]utt_f0_full_phon_b1!G5</f>
        <v>0.400924073412675</v>
      </c>
      <c r="H6" s="146">
        <f>[40]utt_f0_full_phon_b1!H5</f>
        <v>10.5747997038384</v>
      </c>
      <c r="I6" s="278">
        <f>[40]utt_f0_full_phon_b1!I5</f>
        <v>0.69645755349016802</v>
      </c>
      <c r="J6" s="128" t="str">
        <f t="shared" si="1"/>
        <v>p = .696</v>
      </c>
      <c r="K6" s="149">
        <f t="shared" si="0"/>
        <v>0.53796481164979693</v>
      </c>
      <c r="L6" s="240">
        <f>C6-'Utt B1'!C6</f>
        <v>-0.18967847626736811</v>
      </c>
    </row>
    <row r="7" spans="1:12" ht="33.6" customHeight="1" thickBot="1" x14ac:dyDescent="0.35">
      <c r="A7" s="128" t="s">
        <v>15</v>
      </c>
      <c r="B7" s="126" t="s">
        <v>17</v>
      </c>
      <c r="C7" s="128">
        <f>[40]utt_f0_full_phon_b1!C6</f>
        <v>1.38587502812868</v>
      </c>
      <c r="D7" s="126">
        <f>[40]utt_f0_full_phon_b1!D6</f>
        <v>5.2528776189395297E-2</v>
      </c>
      <c r="E7" s="126">
        <f>[40]utt_f0_full_phon_b1!E6</f>
        <v>2.7192212800679698</v>
      </c>
      <c r="F7" s="126">
        <f>[40]utt_f0_full_phon_b1!F6</f>
        <v>0.60286223321041699</v>
      </c>
      <c r="G7" s="126">
        <f>[40]utt_f0_full_phon_b1!G6</f>
        <v>2.29882542276449</v>
      </c>
      <c r="H7" s="146">
        <f>[40]utt_f0_full_phon_b1!H6</f>
        <v>10.579972559856399</v>
      </c>
      <c r="I7" s="278">
        <f>[40]utt_f0_full_phon_b1!I6</f>
        <v>4.2999134110018898E-2</v>
      </c>
      <c r="J7" s="128" t="str">
        <f t="shared" si="1"/>
        <v>p = .043</v>
      </c>
      <c r="K7" s="149">
        <f t="shared" si="0"/>
        <v>1.3333462519392847</v>
      </c>
      <c r="L7" s="240">
        <f>C7-'Utt B1'!C7</f>
        <v>-0.33767093411552995</v>
      </c>
    </row>
    <row r="8" spans="1:12" ht="33.6" customHeight="1" thickBot="1" x14ac:dyDescent="0.35">
      <c r="A8" s="125" t="s">
        <v>16</v>
      </c>
      <c r="B8" s="123" t="s">
        <v>17</v>
      </c>
      <c r="C8" s="125">
        <f>[40]utt_f0_full_phon_b1!C7</f>
        <v>1.2883524321031801</v>
      </c>
      <c r="D8" s="123">
        <f>[40]utt_f0_full_phon_b1!D7</f>
        <v>9.5705588991045795E-2</v>
      </c>
      <c r="E8" s="123">
        <f>[40]utt_f0_full_phon_b1!E7</f>
        <v>2.48099927521532</v>
      </c>
      <c r="F8" s="123">
        <f>[40]utt_f0_full_phon_b1!F7</f>
        <v>0.53670713107547496</v>
      </c>
      <c r="G8" s="123">
        <f>[40]utt_f0_full_phon_b1!G7</f>
        <v>2.4004757110671</v>
      </c>
      <c r="H8" s="145">
        <f>[40]utt_f0_full_phon_b1!H7</f>
        <v>10.2026066977258</v>
      </c>
      <c r="I8" s="279">
        <f>[40]utt_f0_full_phon_b1!I7</f>
        <v>3.6828079980555498E-2</v>
      </c>
      <c r="J8" s="125" t="str">
        <f t="shared" si="1"/>
        <v>p = .037</v>
      </c>
      <c r="K8" s="149">
        <f t="shared" si="0"/>
        <v>1.1926468431121342</v>
      </c>
      <c r="L8" s="240">
        <f>C8-'Utt B1'!C8</f>
        <v>-0.14800174033571989</v>
      </c>
    </row>
    <row r="9" spans="1:12" ht="33.6" customHeight="1" thickBot="1" x14ac:dyDescent="0.35">
      <c r="A9" s="125" t="s">
        <v>120</v>
      </c>
      <c r="B9" s="123" t="s">
        <v>121</v>
      </c>
      <c r="C9" s="125">
        <f>[40]utt_f0_full_phon_b1!C8</f>
        <v>-6.5000000000000002E-2</v>
      </c>
      <c r="D9" s="123">
        <f>[40]utt_f0_full_phon_b1!D8</f>
        <v>-0.41139941663879098</v>
      </c>
      <c r="E9" s="123">
        <f>[40]utt_f0_full_phon_b1!E8</f>
        <v>0.28091636681488003</v>
      </c>
      <c r="F9" s="123">
        <f>[40]utt_f0_full_phon_b1!F8</f>
        <v>0.155</v>
      </c>
      <c r="G9" s="123">
        <f>[40]utt_f0_full_phon_b1!G8</f>
        <v>-0.42099999999999999</v>
      </c>
      <c r="H9" s="145">
        <f>[40]utt_f0_full_phon_b1!H8</f>
        <v>9.76</v>
      </c>
      <c r="I9" s="279">
        <f>[40]utt_f0_full_phon_b1!I8</f>
        <v>0.68262667946956601</v>
      </c>
      <c r="J9" s="125" t="str">
        <f t="shared" si="1"/>
        <v>p = .683</v>
      </c>
      <c r="K9" s="149">
        <f t="shared" si="0"/>
        <v>0.34639941663879098</v>
      </c>
      <c r="L9" s="240"/>
    </row>
    <row r="10" spans="1:12" x14ac:dyDescent="0.3">
      <c r="A10" s="121" t="s">
        <v>85</v>
      </c>
      <c r="B10" s="122">
        <f>_xlfn.STDEV.S(C3:C8)</f>
        <v>0.66763168887705915</v>
      </c>
      <c r="D10" s="144" t="s">
        <v>88</v>
      </c>
      <c r="E10" s="210">
        <f>_xlfn.VAR.S(C3:C8)</f>
        <v>0.44573207199283438</v>
      </c>
      <c r="G10" s="138" t="s">
        <v>91</v>
      </c>
      <c r="H10" s="211">
        <f>'Utt full B1'!B10-'Utt B1'!B10</f>
        <v>-8.8784509803489287E-2</v>
      </c>
      <c r="J10" s="211">
        <f>'Utt full B1'!E10-'Utt B1'!E10</f>
        <v>-0.12643339363349659</v>
      </c>
    </row>
    <row r="11" spans="1:12" x14ac:dyDescent="0.3">
      <c r="A11" s="121" t="s">
        <v>86</v>
      </c>
      <c r="B11" s="209">
        <f>AVERAGE(C3:C8)</f>
        <v>0.94587034817190629</v>
      </c>
      <c r="G11" s="138" t="s">
        <v>92</v>
      </c>
      <c r="H11" s="211">
        <f>'Utt full B1'!B11-'Utt B1'!B11</f>
        <v>-0.2006602319830334</v>
      </c>
    </row>
    <row r="12" spans="1:12" ht="33" customHeight="1" thickBot="1" x14ac:dyDescent="0.35">
      <c r="A12" s="136" t="s">
        <v>54</v>
      </c>
      <c r="B12" s="143" t="s">
        <v>78</v>
      </c>
    </row>
    <row r="13" spans="1:12" ht="25.2" customHeight="1" thickTop="1" thickBot="1" x14ac:dyDescent="0.35">
      <c r="A13" s="132" t="str">
        <f>[34]utt_slope_full_phon_b1!A1</f>
        <v>intercept</v>
      </c>
      <c r="B13" s="132" t="str">
        <f>[34]utt_slope_full_phon_b1!B1</f>
        <v>slope</v>
      </c>
      <c r="C13" s="132" t="s">
        <v>124</v>
      </c>
      <c r="D13" s="132" t="str">
        <f>[34]utt_slope_full_phon_b1!D1</f>
        <v>conf.low</v>
      </c>
      <c r="E13" s="132" t="str">
        <f>[34]utt_slope_full_phon_b1!E1</f>
        <v>conf.high</v>
      </c>
      <c r="F13" s="132" t="str">
        <f>[34]utt_slope_full_phon_b1!F1</f>
        <v>std.error</v>
      </c>
      <c r="G13" s="132" t="str">
        <f>[34]utt_slope_full_phon_b1!G1</f>
        <v>t.value</v>
      </c>
      <c r="H13" s="132" t="str">
        <f>[34]utt_slope_full_phon_b1!H1</f>
        <v>df</v>
      </c>
      <c r="I13" s="133" t="str">
        <f>[34]utt_slope_full_phon_b1!I1</f>
        <v>p.value</v>
      </c>
      <c r="J13" s="132" t="s">
        <v>47</v>
      </c>
      <c r="K13" s="148" t="s">
        <v>64</v>
      </c>
    </row>
    <row r="14" spans="1:12" ht="33.6" customHeight="1" thickTop="1" thickBot="1" x14ac:dyDescent="0.35">
      <c r="A14" s="131" t="s">
        <v>14</v>
      </c>
      <c r="B14" s="129" t="s">
        <v>15</v>
      </c>
      <c r="C14" s="129">
        <f>[41]utt_slope_full_phon_b1!C2</f>
        <v>-2.1352459764041201</v>
      </c>
      <c r="D14" s="129">
        <f>[41]utt_slope_full_phon_b1!D2</f>
        <v>-4.9195481067984401</v>
      </c>
      <c r="E14" s="129">
        <f>[41]utt_slope_full_phon_b1!E2</f>
        <v>0.64905615399018501</v>
      </c>
      <c r="F14" s="129">
        <f>[41]utt_slope_full_phon_b1!F2</f>
        <v>1.25147857231635</v>
      </c>
      <c r="G14" s="129">
        <f>[41]utt_slope_full_phon_b1!G2</f>
        <v>-1.70617861435055</v>
      </c>
      <c r="H14" s="129">
        <f>[41]utt_slope_full_phon_b1!H2</f>
        <v>10.111597394458199</v>
      </c>
      <c r="I14" s="212">
        <f>[41]utt_slope_full_phon_b1!I2</f>
        <v>0.118448453812146</v>
      </c>
      <c r="J14" s="269" t="str">
        <f>IF(I14&lt;0.001, "p &lt; .001", _xlfn.CONCAT("p = ", REPLACE(ROUND(I14, 3),1,2,".")))</f>
        <v>p = .118</v>
      </c>
      <c r="K14" s="149">
        <f t="shared" ref="K14:K20" si="2">C14-D14</f>
        <v>2.7843021303943201</v>
      </c>
      <c r="L14" s="240">
        <f>C14-'Utt B1'!C14</f>
        <v>0.28863525469451989</v>
      </c>
    </row>
    <row r="15" spans="1:12" ht="33.6" customHeight="1" thickBot="1" x14ac:dyDescent="0.35">
      <c r="A15" s="128" t="s">
        <v>14</v>
      </c>
      <c r="B15" s="126" t="s">
        <v>16</v>
      </c>
      <c r="C15" s="126">
        <f>[41]utt_slope_full_phon_b1!C3</f>
        <v>2.9558935561294102</v>
      </c>
      <c r="D15" s="126">
        <f>[41]utt_slope_full_phon_b1!D3</f>
        <v>1.31482614437834</v>
      </c>
      <c r="E15" s="126">
        <f>[41]utt_slope_full_phon_b1!E3</f>
        <v>4.5969609678804897</v>
      </c>
      <c r="F15" s="126">
        <f>[41]utt_slope_full_phon_b1!F3</f>
        <v>0.73766373034670496</v>
      </c>
      <c r="G15" s="126">
        <f>[41]utt_slope_full_phon_b1!G3</f>
        <v>4.0071016569299598</v>
      </c>
      <c r="H15" s="146">
        <f>[41]utt_slope_full_phon_b1!H3</f>
        <v>10.115938127023499</v>
      </c>
      <c r="I15" s="278">
        <f>[41]utt_slope_full_phon_b1!I3</f>
        <v>2.43304211981286E-3</v>
      </c>
      <c r="J15" s="128" t="str">
        <f t="shared" ref="J15:J20" si="3">IF(I15&lt;0.001, "p &lt; .001", _xlfn.CONCAT("p = ", REPLACE(ROUND(I15, 3),1,2,".")))</f>
        <v>p = .002</v>
      </c>
      <c r="K15" s="149">
        <f t="shared" si="2"/>
        <v>1.6410674117510702</v>
      </c>
      <c r="L15" s="240">
        <f>C15-'Utt B1'!C15</f>
        <v>-0.59385829912880972</v>
      </c>
    </row>
    <row r="16" spans="1:12" ht="33.6" customHeight="1" thickBot="1" x14ac:dyDescent="0.35">
      <c r="A16" s="128" t="s">
        <v>14</v>
      </c>
      <c r="B16" s="126" t="s">
        <v>17</v>
      </c>
      <c r="C16" s="126">
        <f>[41]utt_slope_full_phon_b1!C4</f>
        <v>5.2240445812056704</v>
      </c>
      <c r="D16" s="126">
        <f>[41]utt_slope_full_phon_b1!D4</f>
        <v>3.08799784037683</v>
      </c>
      <c r="E16" s="126">
        <f>[41]utt_slope_full_phon_b1!E4</f>
        <v>7.3600913220345099</v>
      </c>
      <c r="F16" s="126">
        <f>[41]utt_slope_full_phon_b1!F4</f>
        <v>0.96683132330296795</v>
      </c>
      <c r="G16" s="126">
        <f>[41]utt_slope_full_phon_b1!G4</f>
        <v>5.4032636875674003</v>
      </c>
      <c r="H16" s="146">
        <f>[41]utt_slope_full_phon_b1!H4</f>
        <v>10.669682057902399</v>
      </c>
      <c r="I16" s="278">
        <f>[41]utt_slope_full_phon_b1!I4</f>
        <v>2.3967712002150599E-4</v>
      </c>
      <c r="J16" s="128" t="str">
        <f t="shared" si="3"/>
        <v>p &lt; .001</v>
      </c>
      <c r="K16" s="149">
        <f t="shared" si="2"/>
        <v>2.1360467408288404</v>
      </c>
      <c r="L16" s="240">
        <f>C16-'Utt B1'!C16</f>
        <v>-1.3846186774801597</v>
      </c>
    </row>
    <row r="17" spans="1:12" ht="33.6" customHeight="1" thickBot="1" x14ac:dyDescent="0.35">
      <c r="A17" s="128" t="s">
        <v>15</v>
      </c>
      <c r="B17" s="126" t="s">
        <v>16</v>
      </c>
      <c r="C17" s="126">
        <f>[41]utt_slope_full_phon_b1!C5</f>
        <v>5.0911283555781299</v>
      </c>
      <c r="D17" s="126">
        <f>[41]utt_slope_full_phon_b1!D5</f>
        <v>2.1362839380129599</v>
      </c>
      <c r="E17" s="126">
        <f>[41]utt_slope_full_phon_b1!E5</f>
        <v>8.0459727731433102</v>
      </c>
      <c r="F17" s="126">
        <f>[41]utt_slope_full_phon_b1!F5</f>
        <v>1.3302499636091201</v>
      </c>
      <c r="G17" s="126">
        <f>[41]utt_slope_full_phon_b1!G5</f>
        <v>3.8271967636558402</v>
      </c>
      <c r="H17" s="146">
        <f>[41]utt_slope_full_phon_b1!H5</f>
        <v>10.233385035498999</v>
      </c>
      <c r="I17" s="278">
        <f>[41]utt_slope_full_phon_b1!I5</f>
        <v>3.1974051083359001E-3</v>
      </c>
      <c r="J17" s="128" t="str">
        <f t="shared" si="3"/>
        <v>p = .003</v>
      </c>
      <c r="K17" s="149">
        <f t="shared" si="2"/>
        <v>2.95484441756517</v>
      </c>
      <c r="L17" s="240">
        <f>C17-'Utt B1'!C17</f>
        <v>-0.88250490502471024</v>
      </c>
    </row>
    <row r="18" spans="1:12" ht="33.6" customHeight="1" thickBot="1" x14ac:dyDescent="0.35">
      <c r="A18" s="128" t="s">
        <v>15</v>
      </c>
      <c r="B18" s="126" t="s">
        <v>17</v>
      </c>
      <c r="C18" s="126">
        <f>[41]utt_slope_full_phon_b1!C6</f>
        <v>7.3592817949925999</v>
      </c>
      <c r="D18" s="126">
        <f>[41]utt_slope_full_phon_b1!D6</f>
        <v>3.74429448985462</v>
      </c>
      <c r="E18" s="126">
        <f>[41]utt_slope_full_phon_b1!E6</f>
        <v>10.974269100130501</v>
      </c>
      <c r="F18" s="126">
        <f>[41]utt_slope_full_phon_b1!F6</f>
        <v>1.6305451365661401</v>
      </c>
      <c r="G18" s="126">
        <f>[41]utt_slope_full_phon_b1!G6</f>
        <v>4.5133873512332903</v>
      </c>
      <c r="H18" s="146">
        <f>[41]utt_slope_full_phon_b1!H6</f>
        <v>10.383218650309001</v>
      </c>
      <c r="I18" s="278">
        <f>[41]utt_slope_full_phon_b1!I6</f>
        <v>1.0187060023360199E-3</v>
      </c>
      <c r="J18" s="128" t="str">
        <f t="shared" si="3"/>
        <v>p = .001</v>
      </c>
      <c r="K18" s="149">
        <f t="shared" si="2"/>
        <v>3.6149873051379799</v>
      </c>
      <c r="L18" s="240">
        <f>C18-'Utt B1'!C18</f>
        <v>-1.6732631903441595</v>
      </c>
    </row>
    <row r="19" spans="1:12" ht="33.6" customHeight="1" thickBot="1" x14ac:dyDescent="0.35">
      <c r="A19" s="125" t="s">
        <v>16</v>
      </c>
      <c r="B19" s="123" t="s">
        <v>17</v>
      </c>
      <c r="C19" s="123">
        <f>[41]utt_slope_full_phon_b1!C7</f>
        <v>2.26815124150832</v>
      </c>
      <c r="D19" s="123">
        <f>[41]utt_slope_full_phon_b1!D7</f>
        <v>0.72817045979653205</v>
      </c>
      <c r="E19" s="123">
        <f>[41]utt_slope_full_phon_b1!E7</f>
        <v>3.8081320232201099</v>
      </c>
      <c r="F19" s="123">
        <f>[41]utt_slope_full_phon_b1!F7</f>
        <v>0.69107739661177903</v>
      </c>
      <c r="G19" s="123">
        <f>[41]utt_slope_full_phon_b1!G7</f>
        <v>3.2820509723348401</v>
      </c>
      <c r="H19" s="145">
        <f>[41]utt_slope_full_phon_b1!H7</f>
        <v>9.9921311041041303</v>
      </c>
      <c r="I19" s="279">
        <f>[41]utt_slope_full_phon_b1!I7</f>
        <v>8.2687501963912696E-3</v>
      </c>
      <c r="J19" s="125" t="str">
        <f t="shared" si="3"/>
        <v>p = .008</v>
      </c>
      <c r="K19" s="149">
        <f t="shared" si="2"/>
        <v>1.5399807817117881</v>
      </c>
      <c r="L19" s="240">
        <f>C19-'Utt B1'!C19</f>
        <v>-0.79076060708854001</v>
      </c>
    </row>
    <row r="20" spans="1:12" ht="33.6" customHeight="1" thickBot="1" x14ac:dyDescent="0.35">
      <c r="A20" s="125" t="s">
        <v>120</v>
      </c>
      <c r="B20" s="123" t="s">
        <v>121</v>
      </c>
      <c r="C20" s="123">
        <f>[41]utt_slope_full_phon_b1!C8</f>
        <v>2.3820000000000001</v>
      </c>
      <c r="D20" s="123">
        <f>[41]utt_slope_full_phon_b1!D8</f>
        <v>1.4397806898676699</v>
      </c>
      <c r="E20" s="123">
        <f>[41]utt_slope_full_phon_b1!E8</f>
        <v>3.3237253619104798</v>
      </c>
      <c r="F20" s="123">
        <f>[41]utt_slope_full_phon_b1!F8</f>
        <v>0.42199999999999999</v>
      </c>
      <c r="G20" s="123">
        <f>[41]utt_slope_full_phon_b1!G8</f>
        <v>5.6459999999999999</v>
      </c>
      <c r="H20" s="124">
        <f>[41]utt_slope_full_phon_b1!H8</f>
        <v>9.84</v>
      </c>
      <c r="I20" s="279">
        <f>[41]utt_slope_full_phon_b1!I8</f>
        <v>2.26851593624225E-4</v>
      </c>
      <c r="J20" s="125" t="str">
        <f t="shared" si="3"/>
        <v>p &lt; .001</v>
      </c>
      <c r="K20" s="149">
        <f t="shared" si="2"/>
        <v>0.94221931013233018</v>
      </c>
      <c r="L20" s="240"/>
    </row>
    <row r="21" spans="1:12" x14ac:dyDescent="0.3">
      <c r="A21" s="121" t="s">
        <v>85</v>
      </c>
      <c r="B21" s="122">
        <f>_xlfn.STDEV.S(C14:C19)</f>
        <v>3.2850642019808824</v>
      </c>
      <c r="D21" s="144" t="s">
        <v>88</v>
      </c>
      <c r="E21" s="210">
        <f>_xlfn.VAR.S(C14:C19)</f>
        <v>10.791646811136292</v>
      </c>
      <c r="G21" s="138" t="s">
        <v>91</v>
      </c>
      <c r="H21" s="211">
        <f>'Utt full B1'!B21-'Utt B1'!B21</f>
        <v>-0.66060956141707239</v>
      </c>
      <c r="I21" s="280" t="s">
        <v>122</v>
      </c>
      <c r="J21" s="211">
        <f>'Utt full B1'!E21-'Utt B1'!E21</f>
        <v>-4.7766946360306886</v>
      </c>
    </row>
    <row r="22" spans="1:12" x14ac:dyDescent="0.3">
      <c r="A22" s="121" t="s">
        <v>86</v>
      </c>
      <c r="B22" s="209">
        <f>AVERAGE(C14:C19)</f>
        <v>3.4605422588350017</v>
      </c>
      <c r="G22" s="144" t="s">
        <v>92</v>
      </c>
      <c r="H22" s="211">
        <f>'Utt full B1'!B22-'Utt B1'!B22</f>
        <v>-0.83939507072864306</v>
      </c>
    </row>
    <row r="30" spans="1:12" ht="15" thickBot="1" x14ac:dyDescent="0.35"/>
    <row r="31" spans="1:12" x14ac:dyDescent="0.3">
      <c r="A31" s="128"/>
      <c r="B31" s="126"/>
      <c r="C31" s="126"/>
      <c r="D31" s="126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EAA6-9B7A-4E6A-815D-C86E9E799A4D}">
  <dimension ref="A1:Q22"/>
  <sheetViews>
    <sheetView showGridLines="0" zoomScale="145" zoomScaleNormal="145" workbookViewId="0">
      <selection activeCell="N4" sqref="N4"/>
    </sheetView>
  </sheetViews>
  <sheetFormatPr defaultColWidth="9.109375" defaultRowHeight="12" x14ac:dyDescent="0.25"/>
  <cols>
    <col min="1" max="1" width="15.6640625" style="224" bestFit="1" customWidth="1"/>
    <col min="2" max="3" width="8.6640625" style="215" customWidth="1"/>
    <col min="4" max="4" width="2.6640625" style="215" customWidth="1"/>
    <col min="5" max="6" width="8.6640625" style="215" customWidth="1"/>
    <col min="7" max="7" width="2.6640625" style="215" customWidth="1"/>
    <col min="8" max="9" width="8.6640625" style="215" customWidth="1"/>
    <col min="10" max="10" width="9.109375" style="215"/>
    <col min="11" max="11" width="15.6640625" style="215" bestFit="1" customWidth="1"/>
    <col min="12" max="12" width="8.33203125" style="215" customWidth="1"/>
    <col min="13" max="13" width="2.6640625" style="215" customWidth="1"/>
    <col min="14" max="15" width="8.33203125" style="215" customWidth="1"/>
    <col min="16" max="16" width="2.6640625" style="215" customWidth="1"/>
    <col min="17" max="17" width="8.33203125" style="215" customWidth="1"/>
    <col min="18" max="16384" width="9.109375" style="215"/>
  </cols>
  <sheetData>
    <row r="1" spans="1:17" ht="12.6" thickBot="1" x14ac:dyDescent="0.3">
      <c r="A1" s="231"/>
      <c r="B1" s="232"/>
      <c r="C1" s="232"/>
      <c r="D1" s="232"/>
      <c r="E1" s="232"/>
      <c r="F1" s="232"/>
      <c r="G1" s="232"/>
      <c r="H1" s="232"/>
      <c r="I1" s="232"/>
    </row>
    <row r="2" spans="1:17" ht="15.75" customHeight="1" thickTop="1" thickBot="1" x14ac:dyDescent="0.3">
      <c r="A2" s="233" t="s">
        <v>96</v>
      </c>
      <c r="B2" s="265" t="s">
        <v>65</v>
      </c>
      <c r="C2" s="265"/>
      <c r="D2" s="234"/>
      <c r="E2" s="265" t="s">
        <v>102</v>
      </c>
      <c r="F2" s="265"/>
      <c r="G2" s="234"/>
      <c r="H2" s="265" t="s">
        <v>94</v>
      </c>
      <c r="I2" s="265"/>
      <c r="K2" s="219" t="s">
        <v>96</v>
      </c>
      <c r="L2" s="220" t="s">
        <v>65</v>
      </c>
      <c r="M2" s="220"/>
      <c r="N2" s="264" t="s">
        <v>93</v>
      </c>
      <c r="O2" s="264"/>
      <c r="P2" s="217"/>
      <c r="Q2" s="220" t="s">
        <v>94</v>
      </c>
    </row>
    <row r="3" spans="1:17" ht="15.75" customHeight="1" thickTop="1" thickBot="1" x14ac:dyDescent="0.3">
      <c r="A3" s="235"/>
      <c r="B3" s="236" t="s">
        <v>86</v>
      </c>
      <c r="C3" s="236" t="s">
        <v>117</v>
      </c>
      <c r="D3" s="236"/>
      <c r="E3" s="236" t="s">
        <v>86</v>
      </c>
      <c r="F3" s="236" t="s">
        <v>117</v>
      </c>
      <c r="G3" s="236"/>
      <c r="H3" s="236" t="s">
        <v>86</v>
      </c>
      <c r="I3" s="236" t="s">
        <v>117</v>
      </c>
      <c r="K3" s="218"/>
      <c r="L3" s="236" t="s">
        <v>117</v>
      </c>
      <c r="M3" s="216"/>
      <c r="N3" s="216" t="s">
        <v>86</v>
      </c>
      <c r="O3" s="236" t="s">
        <v>117</v>
      </c>
      <c r="P3" s="216"/>
      <c r="Q3" s="236" t="s">
        <v>117</v>
      </c>
    </row>
    <row r="4" spans="1:17" ht="15.75" customHeight="1" thickTop="1" thickBot="1" x14ac:dyDescent="0.3">
      <c r="A4" s="237" t="s">
        <v>98</v>
      </c>
      <c r="B4" s="243">
        <f>'Utt Mode B0'!$B8</f>
        <v>0.33448270219585613</v>
      </c>
      <c r="C4" s="243">
        <f>'Utt Mode B0'!B7</f>
        <v>0.94639514078683329</v>
      </c>
      <c r="D4" s="243"/>
      <c r="E4" s="243">
        <f>'Utt full B0'!$B$8</f>
        <v>0.30737344546008116</v>
      </c>
      <c r="F4" s="243">
        <f>'Utt full B0'!B7</f>
        <v>0.79567004655508</v>
      </c>
      <c r="G4" s="243"/>
      <c r="H4" s="243">
        <f>E4-B4</f>
        <v>-2.7109256735774967E-2</v>
      </c>
      <c r="I4" s="243">
        <f>F4-C4</f>
        <v>-0.15072509423175329</v>
      </c>
      <c r="K4" s="213" t="s">
        <v>98</v>
      </c>
      <c r="L4" s="221">
        <f>C4</f>
        <v>0.94639514078683329</v>
      </c>
      <c r="M4" s="221"/>
      <c r="N4" s="221">
        <f>E4</f>
        <v>0.30737344546008116</v>
      </c>
      <c r="O4" s="221">
        <f>F4</f>
        <v>0.79567004655508</v>
      </c>
      <c r="P4" s="221"/>
      <c r="Q4" s="221">
        <f>O4-L4</f>
        <v>-0.15072509423175329</v>
      </c>
    </row>
    <row r="5" spans="1:17" ht="15.75" customHeight="1" x14ac:dyDescent="0.25">
      <c r="A5" s="238" t="s">
        <v>99</v>
      </c>
      <c r="B5" s="244">
        <f>'Utt Mode B0'!$B$16</f>
        <v>1.51075</v>
      </c>
      <c r="C5" s="244">
        <f>'Utt Mode B0'!B15</f>
        <v>3.9688407522432376</v>
      </c>
      <c r="D5" s="244"/>
      <c r="E5" s="244">
        <f>'Utt full B0'!$B$16</f>
        <v>-1.9602378076524671</v>
      </c>
      <c r="F5" s="244">
        <f>'Utt full B0'!B15</f>
        <v>3.2379398622384978</v>
      </c>
      <c r="G5" s="244"/>
      <c r="H5" s="244">
        <f>E5-B5</f>
        <v>-3.4709878076524672</v>
      </c>
      <c r="I5" s="244">
        <f>F5-C5</f>
        <v>-0.73090089000473979</v>
      </c>
      <c r="K5" s="214" t="s">
        <v>99</v>
      </c>
      <c r="L5" s="222">
        <f>C5</f>
        <v>3.9688407522432376</v>
      </c>
      <c r="M5" s="222"/>
      <c r="N5" s="222">
        <f>E5</f>
        <v>-1.9602378076524671</v>
      </c>
      <c r="O5" s="222">
        <f>F5</f>
        <v>3.2379398622384978</v>
      </c>
      <c r="P5" s="222"/>
      <c r="Q5" s="222">
        <f>O5-L5</f>
        <v>-0.73090089000473979</v>
      </c>
    </row>
    <row r="6" spans="1:17" ht="15.75" customHeight="1" thickBot="1" x14ac:dyDescent="0.3">
      <c r="B6" s="223"/>
      <c r="C6" s="223"/>
      <c r="D6" s="223"/>
      <c r="E6" s="223"/>
      <c r="F6" s="223"/>
      <c r="G6" s="223"/>
      <c r="H6" s="223"/>
      <c r="I6" s="223"/>
      <c r="K6" s="224"/>
      <c r="L6" s="223"/>
      <c r="M6" s="223"/>
      <c r="N6" s="223"/>
      <c r="O6" s="223"/>
      <c r="P6" s="223"/>
      <c r="Q6" s="223"/>
    </row>
    <row r="7" spans="1:17" ht="15.75" customHeight="1" thickTop="1" thickBot="1" x14ac:dyDescent="0.3">
      <c r="A7" s="219" t="s">
        <v>97</v>
      </c>
      <c r="B7" s="264" t="s">
        <v>103</v>
      </c>
      <c r="C7" s="264"/>
      <c r="D7" s="219"/>
      <c r="E7" s="266" t="s">
        <v>104</v>
      </c>
      <c r="F7" s="266"/>
      <c r="G7" s="219"/>
      <c r="H7" s="266" t="s">
        <v>94</v>
      </c>
      <c r="I7" s="266"/>
    </row>
    <row r="8" spans="1:17" ht="15.75" customHeight="1" thickTop="1" thickBot="1" x14ac:dyDescent="0.3">
      <c r="A8" s="218"/>
      <c r="B8" s="218" t="s">
        <v>86</v>
      </c>
      <c r="C8" s="236" t="s">
        <v>117</v>
      </c>
      <c r="D8" s="218"/>
      <c r="E8" s="218" t="s">
        <v>86</v>
      </c>
      <c r="F8" s="236" t="s">
        <v>117</v>
      </c>
      <c r="G8" s="218"/>
      <c r="H8" s="218" t="s">
        <v>86</v>
      </c>
      <c r="I8" s="236" t="s">
        <v>117</v>
      </c>
    </row>
    <row r="9" spans="1:17" ht="15.75" customHeight="1" thickTop="1" thickBot="1" x14ac:dyDescent="0.3">
      <c r="A9" s="213" t="s">
        <v>98</v>
      </c>
      <c r="B9" s="241">
        <f>'Utt B1'!$B$11</f>
        <v>1.1465305801549397</v>
      </c>
      <c r="C9" s="241">
        <f>'Utt B1'!B10</f>
        <v>0.75641619868054844</v>
      </c>
      <c r="D9" s="241"/>
      <c r="E9" s="241">
        <f>'Utt full B1'!$B$11</f>
        <v>0.94587034817190629</v>
      </c>
      <c r="F9" s="241">
        <f>'Utt full B1'!B10</f>
        <v>0.66763168887705915</v>
      </c>
      <c r="G9" s="241"/>
      <c r="H9" s="241">
        <f>E9-B9</f>
        <v>-0.2006602319830334</v>
      </c>
      <c r="I9" s="241">
        <f>F9-C9</f>
        <v>-8.8784509803489287E-2</v>
      </c>
    </row>
    <row r="10" spans="1:17" ht="15.75" customHeight="1" x14ac:dyDescent="0.25">
      <c r="A10" s="214" t="s">
        <v>99</v>
      </c>
      <c r="B10" s="242">
        <f>'Utt B1'!$B$22</f>
        <v>4.2999373295636447</v>
      </c>
      <c r="C10" s="242">
        <f>'Utt B1'!B21</f>
        <v>3.9456737633979548</v>
      </c>
      <c r="D10" s="242"/>
      <c r="E10" s="242">
        <f>'Utt full B1'!$B$22</f>
        <v>3.4605422588350017</v>
      </c>
      <c r="F10" s="242">
        <f>'Utt full B1'!B21</f>
        <v>3.2850642019808824</v>
      </c>
      <c r="G10" s="242"/>
      <c r="H10" s="242">
        <f>E10-B10</f>
        <v>-0.83939507072864306</v>
      </c>
      <c r="I10" s="242">
        <f>F10-C10</f>
        <v>-0.66060956141707239</v>
      </c>
    </row>
    <row r="11" spans="1:17" x14ac:dyDescent="0.25">
      <c r="B11" s="223"/>
      <c r="C11" s="223"/>
      <c r="D11" s="223"/>
      <c r="E11" s="223"/>
      <c r="F11" s="223"/>
      <c r="G11" s="223"/>
      <c r="H11" s="223"/>
      <c r="I11" s="223"/>
    </row>
    <row r="12" spans="1:17" x14ac:dyDescent="0.25">
      <c r="B12" s="223"/>
      <c r="C12" s="223"/>
      <c r="D12" s="223"/>
      <c r="E12" s="223"/>
      <c r="F12" s="223"/>
      <c r="G12" s="223"/>
      <c r="H12" s="223"/>
      <c r="I12" s="223"/>
    </row>
    <row r="13" spans="1:17" x14ac:dyDescent="0.25">
      <c r="B13" s="223"/>
      <c r="C13" s="223"/>
      <c r="D13" s="223"/>
      <c r="E13" s="223"/>
      <c r="F13" s="223"/>
      <c r="G13" s="223"/>
      <c r="H13" s="223"/>
      <c r="I13" s="223"/>
    </row>
    <row r="14" spans="1:17" ht="15.75" customHeight="1" x14ac:dyDescent="0.25">
      <c r="A14" s="215"/>
    </row>
    <row r="15" spans="1:17" ht="15.75" customHeight="1" x14ac:dyDescent="0.25">
      <c r="A15" s="215"/>
    </row>
    <row r="16" spans="1:17" ht="15.75" customHeight="1" x14ac:dyDescent="0.25">
      <c r="A16" s="215"/>
    </row>
    <row r="17" spans="1:9" ht="15.75" customHeight="1" x14ac:dyDescent="0.25">
      <c r="A17" s="215"/>
    </row>
    <row r="18" spans="1:9" ht="15.75" customHeight="1" x14ac:dyDescent="0.25">
      <c r="A18" s="215"/>
      <c r="I18" s="223"/>
    </row>
    <row r="19" spans="1:9" ht="15.75" customHeight="1" x14ac:dyDescent="0.25">
      <c r="A19" s="215"/>
    </row>
    <row r="20" spans="1:9" ht="15.75" customHeight="1" x14ac:dyDescent="0.25"/>
    <row r="21" spans="1:9" ht="15.75" customHeight="1" x14ac:dyDescent="0.25"/>
    <row r="22" spans="1:9" ht="15.75" customHeight="1" x14ac:dyDescent="0.25"/>
  </sheetData>
  <mergeCells count="7">
    <mergeCell ref="N2:O2"/>
    <mergeCell ref="B2:C2"/>
    <mergeCell ref="E2:F2"/>
    <mergeCell ref="H2:I2"/>
    <mergeCell ref="B7:C7"/>
    <mergeCell ref="E7:F7"/>
    <mergeCell ref="H7:I7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8F58-36BF-42E0-87ED-9A5C355BD17D}">
  <dimension ref="A41:F45"/>
  <sheetViews>
    <sheetView tabSelected="1" topLeftCell="G16" zoomScale="85" zoomScaleNormal="85" workbookViewId="0">
      <selection activeCell="AA46" sqref="AA46"/>
    </sheetView>
  </sheetViews>
  <sheetFormatPr defaultRowHeight="14.4" x14ac:dyDescent="0.3"/>
  <sheetData>
    <row r="41" spans="1:6" x14ac:dyDescent="0.3">
      <c r="B41" t="s">
        <v>65</v>
      </c>
    </row>
    <row r="42" spans="1:6" x14ac:dyDescent="0.3">
      <c r="B42" t="s">
        <v>119</v>
      </c>
    </row>
    <row r="43" spans="1:6" x14ac:dyDescent="0.3">
      <c r="A43">
        <v>0.47</v>
      </c>
      <c r="B43">
        <v>0.76</v>
      </c>
      <c r="C43">
        <v>2.2400000000000002</v>
      </c>
      <c r="D43">
        <v>0.28999999999999998</v>
      </c>
      <c r="E43">
        <v>1.77</v>
      </c>
      <c r="F43">
        <v>1.48</v>
      </c>
    </row>
    <row r="44" spans="1:6" x14ac:dyDescent="0.3">
      <c r="A44">
        <v>0.46</v>
      </c>
      <c r="B44">
        <v>0.59</v>
      </c>
      <c r="C44">
        <v>1.89</v>
      </c>
      <c r="D44">
        <v>0.13</v>
      </c>
      <c r="E44">
        <v>1.43</v>
      </c>
      <c r="F44">
        <v>1.3</v>
      </c>
    </row>
    <row r="45" spans="1:6" x14ac:dyDescent="0.3">
      <c r="A45">
        <f>A44-A43</f>
        <v>-9.9999999999999534E-3</v>
      </c>
      <c r="B45">
        <f t="shared" ref="B45:F45" si="0">B44-B43</f>
        <v>-0.17000000000000004</v>
      </c>
      <c r="C45">
        <f t="shared" si="0"/>
        <v>-0.35000000000000031</v>
      </c>
      <c r="D45">
        <f t="shared" si="0"/>
        <v>-0.15999999999999998</v>
      </c>
      <c r="E45">
        <f t="shared" si="0"/>
        <v>-0.34000000000000008</v>
      </c>
      <c r="F45">
        <f t="shared" si="0"/>
        <v>-0.17999999999999994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K17:L25"/>
  <sheetViews>
    <sheetView zoomScale="85" zoomScaleNormal="85" workbookViewId="0"/>
  </sheetViews>
  <sheetFormatPr defaultRowHeight="14.4" x14ac:dyDescent="0.3"/>
  <sheetData>
    <row r="17" spans="11:12" x14ac:dyDescent="0.3">
      <c r="K17">
        <v>0.85098039199999997</v>
      </c>
      <c r="L17" t="str">
        <f>DEC2HEX((ROUND(K17*255,0)))</f>
        <v>D9</v>
      </c>
    </row>
    <row r="18" spans="11:12" x14ac:dyDescent="0.3">
      <c r="K18">
        <v>0.37254902000000001</v>
      </c>
      <c r="L18" t="str">
        <f>DEC2HEX((ROUND(K18*255,0)))</f>
        <v>5F</v>
      </c>
    </row>
    <row r="19" spans="11:12" x14ac:dyDescent="0.3">
      <c r="K19">
        <v>7.843137E-3</v>
      </c>
      <c r="L19" t="str">
        <f>DEC2HEX((ROUND(K19*255,0)))</f>
        <v>2</v>
      </c>
    </row>
    <row r="23" spans="11:12" x14ac:dyDescent="0.3">
      <c r="K23">
        <v>1</v>
      </c>
      <c r="L23" t="str">
        <f>DEC2HEX((ROUND(K23*255,0)))</f>
        <v>FF</v>
      </c>
    </row>
    <row r="24" spans="11:12" x14ac:dyDescent="0.3">
      <c r="K24">
        <v>0.62254902000000001</v>
      </c>
      <c r="L24" t="str">
        <f>DEC2HEX((ROUND(K24*255,0)))</f>
        <v>9F</v>
      </c>
    </row>
    <row r="25" spans="11:12" x14ac:dyDescent="0.3">
      <c r="K25">
        <v>0.257843137</v>
      </c>
      <c r="L25" t="str">
        <f>DEC2HEX((ROUND(K25*255,0)))</f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5DB1-D61E-483F-B646-F10C5F176B9B}">
  <sheetPr>
    <pageSetUpPr fitToPage="1"/>
  </sheetPr>
  <dimension ref="A1:BA31"/>
  <sheetViews>
    <sheetView showGridLines="0" topLeftCell="A13" zoomScale="70" zoomScaleNormal="70" zoomScaleSheetLayoutView="55" workbookViewId="0">
      <selection activeCell="I4" sqref="I4"/>
    </sheetView>
  </sheetViews>
  <sheetFormatPr defaultColWidth="13.88671875" defaultRowHeight="13.2" x14ac:dyDescent="0.25"/>
  <cols>
    <col min="1" max="1" width="17.109375" style="82" customWidth="1"/>
    <col min="2" max="8" width="11.88671875" style="79" customWidth="1"/>
    <col min="9" max="10" width="11.88671875" style="81" customWidth="1"/>
    <col min="11" max="11" width="11.44140625" style="150" customWidth="1"/>
    <col min="12" max="12" width="11.44140625" style="79" customWidth="1"/>
    <col min="13" max="14" width="8.6640625" style="79" customWidth="1"/>
    <col min="15" max="15" width="11.44140625" style="80" customWidth="1"/>
    <col min="16" max="16" width="9.6640625" style="80" customWidth="1"/>
    <col min="17" max="17" width="11.44140625" style="80" customWidth="1"/>
    <col min="18" max="19" width="7.6640625" style="79" customWidth="1"/>
    <col min="20" max="21" width="11.44140625" style="79" customWidth="1"/>
    <col min="22" max="23" width="8.6640625" style="79" customWidth="1"/>
    <col min="24" max="24" width="11.44140625" style="80" customWidth="1"/>
    <col min="25" max="25" width="9.6640625" style="80" customWidth="1"/>
    <col min="26" max="26" width="11.44140625" style="80" customWidth="1"/>
    <col min="27" max="28" width="7.6640625" style="79" customWidth="1"/>
    <col min="29" max="30" width="11.44140625" style="79" customWidth="1"/>
    <col min="31" max="32" width="8.6640625" style="79" customWidth="1"/>
    <col min="33" max="33" width="11.44140625" style="80" customWidth="1"/>
    <col min="34" max="34" width="9.6640625" style="80" customWidth="1"/>
    <col min="35" max="35" width="11.44140625" style="80" customWidth="1"/>
    <col min="36" max="37" width="7.6640625" style="79" customWidth="1"/>
    <col min="38" max="39" width="11.44140625" style="79" customWidth="1"/>
    <col min="40" max="41" width="8.6640625" style="79" customWidth="1"/>
    <col min="42" max="42" width="11.44140625" style="80" customWidth="1"/>
    <col min="43" max="43" width="9.6640625" style="80" customWidth="1"/>
    <col min="44" max="44" width="11.44140625" style="80" customWidth="1"/>
    <col min="45" max="46" width="7.6640625" style="79" customWidth="1"/>
    <col min="47" max="48" width="11.44140625" style="79" customWidth="1"/>
    <col min="49" max="50" width="8.6640625" style="79" customWidth="1"/>
    <col min="51" max="51" width="11.44140625" style="80" customWidth="1"/>
    <col min="52" max="52" width="9.6640625" style="80" customWidth="1"/>
    <col min="53" max="53" width="11.44140625" style="80" customWidth="1"/>
    <col min="54" max="55" width="11.44140625" style="79" customWidth="1"/>
    <col min="56" max="16384" width="13.88671875" style="79"/>
  </cols>
  <sheetData>
    <row r="1" spans="1:53" s="199" customFormat="1" ht="24" customHeight="1" thickBot="1" x14ac:dyDescent="0.45">
      <c r="A1" s="260" t="s">
        <v>74</v>
      </c>
      <c r="B1" s="260"/>
      <c r="C1" s="260"/>
      <c r="D1" s="260"/>
      <c r="E1" s="260"/>
      <c r="F1" s="260"/>
      <c r="G1" s="260"/>
      <c r="H1" s="260"/>
      <c r="I1" s="260"/>
      <c r="J1" s="260"/>
      <c r="O1" s="200"/>
      <c r="P1" s="200"/>
      <c r="Q1" s="200"/>
      <c r="X1" s="200"/>
      <c r="Y1" s="200"/>
      <c r="Z1" s="200"/>
      <c r="AG1" s="200"/>
      <c r="AH1" s="200"/>
      <c r="AI1" s="200"/>
      <c r="AP1" s="200"/>
      <c r="AQ1" s="200"/>
      <c r="AR1" s="200"/>
      <c r="AY1" s="200"/>
      <c r="AZ1" s="200"/>
      <c r="BA1" s="200"/>
    </row>
    <row r="2" spans="1:53" s="100" customFormat="1" ht="15.75" customHeight="1" thickTop="1" thickBot="1" x14ac:dyDescent="0.3">
      <c r="A2" s="96" t="s">
        <v>34</v>
      </c>
      <c r="B2" s="57" t="s">
        <v>44</v>
      </c>
      <c r="C2" s="57" t="s">
        <v>7</v>
      </c>
      <c r="D2" s="57" t="s">
        <v>8</v>
      </c>
      <c r="E2" s="57" t="s">
        <v>2</v>
      </c>
      <c r="F2" s="57" t="s">
        <v>6</v>
      </c>
      <c r="G2" s="57" t="s">
        <v>9</v>
      </c>
      <c r="H2" s="57" t="s">
        <v>18</v>
      </c>
      <c r="I2" s="58" t="s">
        <v>32</v>
      </c>
      <c r="J2" s="58" t="s">
        <v>21</v>
      </c>
      <c r="K2" s="148" t="s">
        <v>64</v>
      </c>
    </row>
    <row r="3" spans="1:53" s="99" customFormat="1" ht="15.75" customHeight="1" thickTop="1" thickBot="1" x14ac:dyDescent="0.3">
      <c r="A3" s="92" t="s">
        <v>28</v>
      </c>
      <c r="B3" s="95">
        <f>[9]Mode_l_f0_b1!C2</f>
        <v>0.124</v>
      </c>
      <c r="C3" s="95">
        <f>[9]Mode_l_f0_b1!D2</f>
        <v>-0.18642056809001101</v>
      </c>
      <c r="D3" s="95">
        <f>[9]Mode_l_f0_b1!E2</f>
        <v>0.43513996167241198</v>
      </c>
      <c r="E3" s="90">
        <f>[9]Mode_l_f0_b1!F2</f>
        <v>0.158</v>
      </c>
      <c r="F3" s="90">
        <f>[9]Mode_l_f0_b1!G2</f>
        <v>0.78600000000000003</v>
      </c>
      <c r="G3" s="95">
        <f>[9]Mode_l_f0_b1!H2</f>
        <v>610.99</v>
      </c>
      <c r="H3" s="97">
        <f>[9]Mode_l_f0_b1!I2</f>
        <v>0.432</v>
      </c>
      <c r="I3" s="168">
        <f>[9]Mode_l_f0_b1!J2</f>
        <v>0.53200000000000003</v>
      </c>
      <c r="J3" s="87">
        <f>[9]Mode_l_f0_b1!K2</f>
        <v>0</v>
      </c>
      <c r="K3" s="149">
        <f>B3-C3</f>
        <v>0.31042056809001101</v>
      </c>
    </row>
    <row r="4" spans="1:53" s="99" customFormat="1" ht="15.75" customHeight="1" thickBot="1" x14ac:dyDescent="0.3">
      <c r="A4" s="92" t="s">
        <v>29</v>
      </c>
      <c r="B4" s="94">
        <f>[10]Mode_h_f0_b1!C2</f>
        <v>0.40600000000000003</v>
      </c>
      <c r="C4" s="94">
        <f>[10]Mode_h_f0_b1!D2</f>
        <v>-2.8919059791888E-2</v>
      </c>
      <c r="D4" s="94">
        <f>[10]Mode_h_f0_b1!E2</f>
        <v>0.84155505854439805</v>
      </c>
      <c r="E4" s="93">
        <f>[10]Mode_h_f0_b1!F2</f>
        <v>0.222</v>
      </c>
      <c r="F4" s="93">
        <f>[10]Mode_h_f0_b1!G2</f>
        <v>1.833</v>
      </c>
      <c r="G4" s="94">
        <f>[10]Mode_h_f0_b1!H2</f>
        <v>615.98</v>
      </c>
      <c r="H4" s="89">
        <f>[10]Mode_h_f0_b1!I2</f>
        <v>6.7000000000000004E-2</v>
      </c>
      <c r="I4" s="97">
        <f>[10]Mode_h_f0_b1!J2</f>
        <v>0.10199999999999999</v>
      </c>
      <c r="J4" s="87">
        <f>[10]Mode_h_f0_b1!K2</f>
        <v>0</v>
      </c>
      <c r="K4" s="149">
        <f>B4-C4</f>
        <v>0.43491905979188805</v>
      </c>
    </row>
    <row r="5" spans="1:53" s="98" customFormat="1" ht="15.75" customHeight="1" thickBot="1" x14ac:dyDescent="0.3">
      <c r="A5" s="92" t="s">
        <v>30</v>
      </c>
      <c r="B5" s="91">
        <f>[11]Mode_l_t_b1!C2</f>
        <v>0.40400000000000003</v>
      </c>
      <c r="C5" s="91">
        <f>[11]Mode_l_t_b1!D2</f>
        <v>-3.53378949890865</v>
      </c>
      <c r="D5" s="91">
        <f>[11]Mode_l_t_b1!E2</f>
        <v>4.3412529801935902</v>
      </c>
      <c r="E5" s="95">
        <f>[11]Mode_l_t_b1!F2</f>
        <v>2.0049999999999999</v>
      </c>
      <c r="F5" s="90">
        <f>[11]Mode_l_t_b1!G2</f>
        <v>0.20100000000000001</v>
      </c>
      <c r="G5" s="95">
        <f>[11]Mode_l_t_b1!H2</f>
        <v>610.88</v>
      </c>
      <c r="H5" s="168">
        <f>[11]Mode_l_t_b1!I2</f>
        <v>0.84</v>
      </c>
      <c r="I5" s="97">
        <f>[11]Mode_l_t_b1!J2</f>
        <v>0.92900000000000005</v>
      </c>
      <c r="J5" s="87">
        <f>[11]Mode_l_t_b1!K2</f>
        <v>0</v>
      </c>
      <c r="K5" s="149">
        <f>B5-C5</f>
        <v>3.9377894989086499</v>
      </c>
    </row>
    <row r="6" spans="1:53" s="98" customFormat="1" ht="15.75" customHeight="1" thickBot="1" x14ac:dyDescent="0.3">
      <c r="A6" s="92" t="s">
        <v>31</v>
      </c>
      <c r="B6" s="91">
        <f>[12]Mode_h_t_b1!C2</f>
        <v>-0.373</v>
      </c>
      <c r="C6" s="91">
        <f>[12]Mode_h_t_b1!D2</f>
        <v>-6.1763930344414302</v>
      </c>
      <c r="D6" s="91">
        <f>[12]Mode_h_t_b1!E2</f>
        <v>5.4313420393882499</v>
      </c>
      <c r="E6" s="90">
        <f>[12]Mode_h_t_b1!F2</f>
        <v>2.9550000000000001</v>
      </c>
      <c r="F6" s="90">
        <f>[12]Mode_h_t_b1!G2</f>
        <v>-0.126</v>
      </c>
      <c r="G6" s="95">
        <f>[12]Mode_h_t_b1!H2</f>
        <v>613.04</v>
      </c>
      <c r="H6" s="168">
        <f>[12]Mode_h_t_b1!I2</f>
        <v>0.9</v>
      </c>
      <c r="I6" s="88">
        <f>[12]Mode_h_t_b1!J2</f>
        <v>0.93799999999999994</v>
      </c>
      <c r="J6" s="87">
        <f>[12]Mode_h_t_b1!K2</f>
        <v>0</v>
      </c>
      <c r="K6" s="149">
        <f>B6-C6</f>
        <v>5.80339303444143</v>
      </c>
    </row>
    <row r="7" spans="1:53" ht="15.75" customHeight="1" thickTop="1" thickBot="1" x14ac:dyDescent="0.3">
      <c r="A7" s="96" t="s">
        <v>35</v>
      </c>
      <c r="B7" s="57" t="str">
        <f t="shared" ref="B7:J7" si="0">B2</f>
        <v>β1</v>
      </c>
      <c r="C7" s="57" t="str">
        <f t="shared" si="0"/>
        <v>2.5% CI</v>
      </c>
      <c r="D7" s="57" t="str">
        <f t="shared" si="0"/>
        <v>97.5% CI</v>
      </c>
      <c r="E7" s="57" t="str">
        <f t="shared" si="0"/>
        <v xml:space="preserve">SE </v>
      </c>
      <c r="F7" s="57" t="str">
        <f t="shared" si="0"/>
        <v>t</v>
      </c>
      <c r="G7" s="75" t="str">
        <f t="shared" si="0"/>
        <v>df</v>
      </c>
      <c r="H7" s="72" t="str">
        <f t="shared" si="0"/>
        <v>p. val.</v>
      </c>
      <c r="I7" s="72" t="str">
        <f t="shared" si="0"/>
        <v>p.adj</v>
      </c>
      <c r="J7" s="58" t="str">
        <f t="shared" si="0"/>
        <v>sig.</v>
      </c>
      <c r="K7" s="148" t="s">
        <v>64</v>
      </c>
    </row>
    <row r="8" spans="1:53" ht="15.75" customHeight="1" thickTop="1" thickBot="1" x14ac:dyDescent="0.3">
      <c r="A8" s="92" t="s">
        <v>28</v>
      </c>
      <c r="B8" s="95">
        <f>[9]Mode_l_f0_b1!C3</f>
        <v>1.621</v>
      </c>
      <c r="C8" s="95">
        <f>[9]Mode_l_f0_b1!D3</f>
        <v>1.3093786725876499</v>
      </c>
      <c r="D8" s="95">
        <f>[9]Mode_l_f0_b1!E3</f>
        <v>1.93347007743885</v>
      </c>
      <c r="E8" s="90">
        <f>[9]Mode_l_f0_b1!F3</f>
        <v>0.159</v>
      </c>
      <c r="F8" s="90">
        <f>[9]Mode_l_f0_b1!G3</f>
        <v>10.204000000000001</v>
      </c>
      <c r="G8" s="95">
        <f>[9]Mode_l_f0_b1!H3</f>
        <v>611.13</v>
      </c>
      <c r="H8" s="89">
        <f>[9]Mode_l_f0_b1!I3</f>
        <v>1.1E-22</v>
      </c>
      <c r="I8" s="88">
        <f>[9]Mode_l_f0_b1!J3</f>
        <v>1.3000000000000001E-21</v>
      </c>
      <c r="J8" s="87" t="str">
        <f>[9]Mode_l_f0_b1!K3</f>
        <v>p&lt;0.0001</v>
      </c>
      <c r="K8" s="149">
        <f>B8-C8</f>
        <v>0.31162132741235005</v>
      </c>
    </row>
    <row r="9" spans="1:53" ht="15.75" customHeight="1" thickBot="1" x14ac:dyDescent="0.3">
      <c r="A9" s="92" t="s">
        <v>29</v>
      </c>
      <c r="B9" s="94">
        <f>[10]Mode_h_f0_b1!C3</f>
        <v>1.7190000000000001</v>
      </c>
      <c r="C9" s="94">
        <f>[10]Mode_h_f0_b1!D3</f>
        <v>1.2820173565612201</v>
      </c>
      <c r="D9" s="94">
        <f>[10]Mode_h_f0_b1!E3</f>
        <v>2.1559517370543801</v>
      </c>
      <c r="E9" s="93">
        <f>[10]Mode_h_f0_b1!F3</f>
        <v>0.223</v>
      </c>
      <c r="F9" s="93">
        <f>[10]Mode_h_f0_b1!G3</f>
        <v>7.7249999999999996</v>
      </c>
      <c r="G9" s="94">
        <f>[10]Mode_h_f0_b1!H3</f>
        <v>616.12</v>
      </c>
      <c r="H9" s="89">
        <f>[10]Mode_h_f0_b1!I3</f>
        <v>4.4999999999999998E-14</v>
      </c>
      <c r="I9" s="88">
        <f>[10]Mode_h_f0_b1!J3</f>
        <v>2.7000000000000001E-13</v>
      </c>
      <c r="J9" s="87" t="str">
        <f>[10]Mode_h_f0_b1!K3</f>
        <v>p&lt;0.0001</v>
      </c>
      <c r="K9" s="149">
        <f>B9-C9</f>
        <v>0.43698264343878002</v>
      </c>
    </row>
    <row r="10" spans="1:53" ht="15.75" customHeight="1" thickBot="1" x14ac:dyDescent="0.3">
      <c r="A10" s="92" t="s">
        <v>30</v>
      </c>
      <c r="B10" s="91">
        <f>[11]Mode_l_t_b1!C3</f>
        <v>-2.2949999999999999</v>
      </c>
      <c r="C10" s="91">
        <f>[11]Mode_l_t_b1!D3</f>
        <v>-6.2598052359264003</v>
      </c>
      <c r="D10" s="91">
        <f>[11]Mode_l_t_b1!E3</f>
        <v>1.66925440242729</v>
      </c>
      <c r="E10" s="90">
        <f>[11]Mode_l_t_b1!F3</f>
        <v>2.0190000000000001</v>
      </c>
      <c r="F10" s="90">
        <f>[11]Mode_l_t_b1!G3</f>
        <v>-1.137</v>
      </c>
      <c r="G10" s="95">
        <f>[11]Mode_l_t_b1!H3</f>
        <v>611.71</v>
      </c>
      <c r="H10" s="97">
        <f>[11]Mode_l_t_b1!I3</f>
        <v>0.25600000000000001</v>
      </c>
      <c r="I10" s="97">
        <f>[11]Mode_l_t_b1!J3</f>
        <v>0.34100000000000003</v>
      </c>
      <c r="J10" s="87">
        <f>[11]Mode_l_t_b1!K3</f>
        <v>0</v>
      </c>
      <c r="K10" s="149">
        <f>B10-C10</f>
        <v>3.9648052359264003</v>
      </c>
    </row>
    <row r="11" spans="1:53" ht="15.75" customHeight="1" thickBot="1" x14ac:dyDescent="0.3">
      <c r="A11" s="86" t="s">
        <v>31</v>
      </c>
      <c r="B11" s="85">
        <f>[12]Mode_h_t_b1!C3</f>
        <v>-2.4780000000000002</v>
      </c>
      <c r="C11" s="85">
        <f>[12]Mode_h_t_b1!D3</f>
        <v>-8.3141427567449906</v>
      </c>
      <c r="D11" s="85">
        <f>[12]Mode_h_t_b1!E3</f>
        <v>3.35911257504572</v>
      </c>
      <c r="E11" s="84">
        <f>[12]Mode_h_t_b1!F3</f>
        <v>2.972</v>
      </c>
      <c r="F11" s="84">
        <f>[12]Mode_h_t_b1!G3</f>
        <v>-0.83399999999999996</v>
      </c>
      <c r="G11" s="185">
        <f>[12]Mode_h_t_b1!H3</f>
        <v>613.15</v>
      </c>
      <c r="H11" s="187">
        <f>[12]Mode_h_t_b1!I3</f>
        <v>0.40500000000000003</v>
      </c>
      <c r="I11" s="187">
        <f>[12]Mode_h_t_b1!J3</f>
        <v>0.51200000000000001</v>
      </c>
      <c r="J11" s="83">
        <f>[12]Mode_h_t_b1!K3</f>
        <v>0</v>
      </c>
      <c r="K11" s="149">
        <f>B11-C11</f>
        <v>5.8361427567449908</v>
      </c>
    </row>
    <row r="12" spans="1:53" ht="15.75" customHeight="1" thickTop="1" thickBot="1" x14ac:dyDescent="0.3">
      <c r="A12" s="96" t="s">
        <v>36</v>
      </c>
      <c r="B12" s="57" t="str">
        <f t="shared" ref="B12:J12" si="1">B2</f>
        <v>β1</v>
      </c>
      <c r="C12" s="57" t="str">
        <f t="shared" si="1"/>
        <v>2.5% CI</v>
      </c>
      <c r="D12" s="57" t="str">
        <f t="shared" si="1"/>
        <v>97.5% CI</v>
      </c>
      <c r="E12" s="57" t="str">
        <f t="shared" si="1"/>
        <v xml:space="preserve">SE </v>
      </c>
      <c r="F12" s="57" t="str">
        <f t="shared" si="1"/>
        <v>t</v>
      </c>
      <c r="G12" s="75" t="str">
        <f t="shared" si="1"/>
        <v>df</v>
      </c>
      <c r="H12" s="72" t="str">
        <f t="shared" si="1"/>
        <v>p. val.</v>
      </c>
      <c r="I12" s="72" t="str">
        <f t="shared" si="1"/>
        <v>p.adj</v>
      </c>
      <c r="J12" s="58" t="str">
        <f t="shared" si="1"/>
        <v>sig.</v>
      </c>
      <c r="K12" s="148" t="s">
        <v>64</v>
      </c>
    </row>
    <row r="13" spans="1:53" ht="15.75" customHeight="1" thickTop="1" thickBot="1" x14ac:dyDescent="0.3">
      <c r="A13" s="92" t="s">
        <v>28</v>
      </c>
      <c r="B13" s="95">
        <f>[9]Mode_l_f0_b1!C4</f>
        <v>2.4830000000000001</v>
      </c>
      <c r="C13" s="95">
        <f>[9]Mode_l_f0_b1!D4</f>
        <v>2.1459478628906798</v>
      </c>
      <c r="D13" s="95">
        <f>[9]Mode_l_f0_b1!E4</f>
        <v>2.8194909812434901</v>
      </c>
      <c r="E13" s="90">
        <f>[9]Mode_l_f0_b1!F4</f>
        <v>0.17100000000000001</v>
      </c>
      <c r="F13" s="90">
        <f>[9]Mode_l_f0_b1!G4</f>
        <v>14.478</v>
      </c>
      <c r="G13" s="95">
        <f>[9]Mode_l_f0_b1!H4</f>
        <v>612.80999999999995</v>
      </c>
      <c r="H13" s="89">
        <f>[9]Mode_l_f0_b1!I4</f>
        <v>4.5000000000000001E-41</v>
      </c>
      <c r="I13" s="88">
        <f>[9]Mode_l_f0_b1!J4</f>
        <v>1.4000000000000001E-39</v>
      </c>
      <c r="J13" s="87" t="str">
        <f>[9]Mode_l_f0_b1!K4</f>
        <v>p&lt;0.0001</v>
      </c>
      <c r="K13" s="149">
        <f>B13-C13</f>
        <v>0.33705213710932025</v>
      </c>
    </row>
    <row r="14" spans="1:53" ht="15.75" customHeight="1" thickBot="1" x14ac:dyDescent="0.3">
      <c r="A14" s="92" t="s">
        <v>29</v>
      </c>
      <c r="B14" s="94">
        <f>[10]Mode_h_f0_b1!C4</f>
        <v>4.5129999999999999</v>
      </c>
      <c r="C14" s="94">
        <f>[10]Mode_h_f0_b1!D4</f>
        <v>4.0445700089698402</v>
      </c>
      <c r="D14" s="94">
        <f>[10]Mode_h_f0_b1!E4</f>
        <v>4.9805125669845403</v>
      </c>
      <c r="E14" s="93">
        <f>[10]Mode_h_f0_b1!F4</f>
        <v>0.23799999999999999</v>
      </c>
      <c r="F14" s="93">
        <f>[10]Mode_h_f0_b1!G4</f>
        <v>18.937000000000001</v>
      </c>
      <c r="G14" s="94">
        <f>[10]Mode_h_f0_b1!H4</f>
        <v>617.96</v>
      </c>
      <c r="H14" s="89">
        <f>[10]Mode_h_f0_b1!I4</f>
        <v>2.0999999999999999E-63</v>
      </c>
      <c r="I14" s="88">
        <f>[10]Mode_h_f0_b1!J4</f>
        <v>2.0000000000000001E-61</v>
      </c>
      <c r="J14" s="87" t="str">
        <f>[10]Mode_h_f0_b1!K4</f>
        <v>p&lt;0.0001</v>
      </c>
      <c r="K14" s="149">
        <f>B14-C14</f>
        <v>0.4684299910301597</v>
      </c>
    </row>
    <row r="15" spans="1:53" ht="15.75" customHeight="1" thickBot="1" x14ac:dyDescent="0.3">
      <c r="A15" s="92" t="s">
        <v>30</v>
      </c>
      <c r="B15" s="91">
        <f>[11]Mode_l_t_b1!C4</f>
        <v>-21.047999999999998</v>
      </c>
      <c r="C15" s="91">
        <f>[11]Mode_l_t_b1!D4</f>
        <v>-25.261320323500598</v>
      </c>
      <c r="D15" s="91">
        <f>[11]Mode_l_t_b1!E4</f>
        <v>-16.835440861919501</v>
      </c>
      <c r="E15" s="90">
        <f>[11]Mode_l_t_b1!F4</f>
        <v>2.145</v>
      </c>
      <c r="F15" s="90">
        <f>[11]Mode_l_t_b1!G4</f>
        <v>-9.8119999999999994</v>
      </c>
      <c r="G15" s="95">
        <f>[11]Mode_l_t_b1!H4</f>
        <v>597.23</v>
      </c>
      <c r="H15" s="89">
        <f>[11]Mode_l_t_b1!I4</f>
        <v>3.5999999999999999E-21</v>
      </c>
      <c r="I15" s="88">
        <f>[11]Mode_l_t_b1!J4</f>
        <v>3.5E-20</v>
      </c>
      <c r="J15" s="87" t="str">
        <f>[11]Mode_l_t_b1!K4</f>
        <v>p&lt;0.0001</v>
      </c>
      <c r="K15" s="149">
        <f>B15-C15</f>
        <v>4.2133203235006</v>
      </c>
    </row>
    <row r="16" spans="1:53" ht="15.75" customHeight="1" thickBot="1" x14ac:dyDescent="0.3">
      <c r="A16" s="92" t="s">
        <v>31</v>
      </c>
      <c r="B16" s="91">
        <f>[12]Mode_h_t_b1!C4</f>
        <v>-16.834</v>
      </c>
      <c r="C16" s="91">
        <f>[12]Mode_h_t_b1!D4</f>
        <v>-23.078068753224699</v>
      </c>
      <c r="D16" s="91">
        <f>[12]Mode_h_t_b1!E4</f>
        <v>-10.5904726214682</v>
      </c>
      <c r="E16" s="90">
        <f>[12]Mode_h_t_b1!F4</f>
        <v>3.1789999999999998</v>
      </c>
      <c r="F16" s="90">
        <f>[12]Mode_h_t_b1!G4</f>
        <v>-5.2949999999999999</v>
      </c>
      <c r="G16" s="95">
        <f>[12]Mode_h_t_b1!H4</f>
        <v>614.88</v>
      </c>
      <c r="H16" s="89">
        <f>[12]Mode_h_t_b1!I4</f>
        <v>1.6999999999999999E-7</v>
      </c>
      <c r="I16" s="88">
        <f>[12]Mode_h_t_b1!J4</f>
        <v>6.7999999999999995E-7</v>
      </c>
      <c r="J16" s="87" t="str">
        <f>[12]Mode_h_t_b1!K4</f>
        <v>p&lt;0.0001</v>
      </c>
      <c r="K16" s="149">
        <f>B16-C16</f>
        <v>6.244068753224699</v>
      </c>
    </row>
    <row r="17" spans="1:11" ht="15.75" customHeight="1" thickTop="1" thickBot="1" x14ac:dyDescent="0.3">
      <c r="A17" s="96" t="s">
        <v>37</v>
      </c>
      <c r="B17" s="57" t="str">
        <f t="shared" ref="B17:J17" si="2">B2</f>
        <v>β1</v>
      </c>
      <c r="C17" s="57" t="str">
        <f t="shared" si="2"/>
        <v>2.5% CI</v>
      </c>
      <c r="D17" s="57" t="str">
        <f t="shared" si="2"/>
        <v>97.5% CI</v>
      </c>
      <c r="E17" s="57" t="str">
        <f t="shared" si="2"/>
        <v xml:space="preserve">SE </v>
      </c>
      <c r="F17" s="57" t="str">
        <f t="shared" si="2"/>
        <v>t</v>
      </c>
      <c r="G17" s="75" t="str">
        <f t="shared" si="2"/>
        <v>df</v>
      </c>
      <c r="H17" s="72" t="str">
        <f t="shared" si="2"/>
        <v>p. val.</v>
      </c>
      <c r="I17" s="72" t="str">
        <f t="shared" si="2"/>
        <v>p.adj</v>
      </c>
      <c r="J17" s="58" t="str">
        <f t="shared" si="2"/>
        <v>sig.</v>
      </c>
      <c r="K17" s="148" t="s">
        <v>64</v>
      </c>
    </row>
    <row r="18" spans="1:11" ht="15.75" customHeight="1" thickTop="1" thickBot="1" x14ac:dyDescent="0.3">
      <c r="A18" s="92" t="s">
        <v>28</v>
      </c>
      <c r="B18" s="95">
        <f>[9]Mode_l_f0_b1!C5</f>
        <v>1.4970000000000001</v>
      </c>
      <c r="C18" s="95">
        <f>[9]Mode_l_f0_b1!D5</f>
        <v>1.1854525270521099</v>
      </c>
      <c r="D18" s="95">
        <f>[9]Mode_l_f0_b1!E5</f>
        <v>1.80867682923135</v>
      </c>
      <c r="E18" s="90">
        <f>[9]Mode_l_f0_b1!F5</f>
        <v>0.159</v>
      </c>
      <c r="F18" s="90">
        <f>[9]Mode_l_f0_b1!G5</f>
        <v>9.4350000000000005</v>
      </c>
      <c r="G18" s="95">
        <f>[9]Mode_l_f0_b1!H5</f>
        <v>611.16</v>
      </c>
      <c r="H18" s="89">
        <f>[9]Mode_l_f0_b1!I5</f>
        <v>8.1000000000000005E-20</v>
      </c>
      <c r="I18" s="88">
        <f>[9]Mode_l_f0_b1!J5</f>
        <v>7.0999999999999998E-19</v>
      </c>
      <c r="J18" s="87" t="str">
        <f>[9]Mode_l_f0_b1!K5</f>
        <v>p&lt;0.0001</v>
      </c>
      <c r="K18" s="149">
        <f>B18-C18</f>
        <v>0.3115474729478902</v>
      </c>
    </row>
    <row r="19" spans="1:11" ht="15.75" customHeight="1" thickBot="1" x14ac:dyDescent="0.3">
      <c r="A19" s="92" t="s">
        <v>29</v>
      </c>
      <c r="B19" s="94">
        <f>[10]Mode_h_f0_b1!C5</f>
        <v>1.3129999999999999</v>
      </c>
      <c r="C19" s="94">
        <f>[10]Mode_h_f0_b1!D5</f>
        <v>0.87631793303014605</v>
      </c>
      <c r="D19" s="94">
        <f>[10]Mode_h_f0_b1!E5</f>
        <v>1.74901516185067</v>
      </c>
      <c r="E19" s="93">
        <f>[10]Mode_h_f0_b1!F5</f>
        <v>0.222</v>
      </c>
      <c r="F19" s="93">
        <f>[10]Mode_h_f0_b1!G5</f>
        <v>5.9080000000000004</v>
      </c>
      <c r="G19" s="94">
        <f>[10]Mode_h_f0_b1!H5</f>
        <v>616.16999999999996</v>
      </c>
      <c r="H19" s="89">
        <f>[10]Mode_h_f0_b1!I5</f>
        <v>5.6999999999999998E-9</v>
      </c>
      <c r="I19" s="88">
        <f>[10]Mode_h_f0_b1!J5</f>
        <v>2.4E-8</v>
      </c>
      <c r="J19" s="87" t="str">
        <f>[10]Mode_h_f0_b1!K5</f>
        <v>p&lt;0.0001</v>
      </c>
      <c r="K19" s="149">
        <f>B19-C19</f>
        <v>0.4366820669698539</v>
      </c>
    </row>
    <row r="20" spans="1:11" ht="15.75" customHeight="1" thickBot="1" x14ac:dyDescent="0.3">
      <c r="A20" s="92" t="s">
        <v>30</v>
      </c>
      <c r="B20" s="91">
        <f>[11]Mode_l_t_b1!C5</f>
        <v>-2.6989999999999998</v>
      </c>
      <c r="C20" s="91">
        <f>[11]Mode_l_t_b1!D5</f>
        <v>-6.6517684461969697</v>
      </c>
      <c r="D20" s="91">
        <f>[11]Mode_l_t_b1!E5</f>
        <v>1.25375413125451</v>
      </c>
      <c r="E20" s="90">
        <f>[11]Mode_l_t_b1!F5</f>
        <v>2.0129999999999999</v>
      </c>
      <c r="F20" s="90">
        <f>[11]Mode_l_t_b1!G5</f>
        <v>-1.341</v>
      </c>
      <c r="G20" s="95">
        <f>[11]Mode_l_t_b1!H5</f>
        <v>611.91</v>
      </c>
      <c r="H20" s="168">
        <f>[11]Mode_l_t_b1!I5</f>
        <v>0.18</v>
      </c>
      <c r="I20" s="97">
        <f>[11]Mode_l_t_b1!J5</f>
        <v>0.247</v>
      </c>
      <c r="J20" s="87">
        <f>[11]Mode_l_t_b1!K5</f>
        <v>0</v>
      </c>
      <c r="K20" s="149">
        <f>B20-C20</f>
        <v>3.9527684461969699</v>
      </c>
    </row>
    <row r="21" spans="1:11" ht="15.75" customHeight="1" thickBot="1" x14ac:dyDescent="0.3">
      <c r="A21" s="92" t="s">
        <v>31</v>
      </c>
      <c r="B21" s="91">
        <f>[12]Mode_h_t_b1!C5</f>
        <v>-2.105</v>
      </c>
      <c r="C21" s="91">
        <f>[12]Mode_h_t_b1!D5</f>
        <v>-7.9337797320526899</v>
      </c>
      <c r="D21" s="91">
        <f>[12]Mode_h_t_b1!E5</f>
        <v>3.7238005439951198</v>
      </c>
      <c r="E21" s="90">
        <f>[12]Mode_h_t_b1!F5</f>
        <v>2.968</v>
      </c>
      <c r="F21" s="90">
        <f>[12]Mode_h_t_b1!G5</f>
        <v>-0.70899999999999996</v>
      </c>
      <c r="G21" s="95">
        <f>[12]Mode_h_t_b1!H5</f>
        <v>613.21</v>
      </c>
      <c r="H21" s="97">
        <f>[12]Mode_h_t_b1!I5</f>
        <v>0.47799999999999998</v>
      </c>
      <c r="I21" s="88">
        <f>[12]Mode_h_t_b1!J5</f>
        <v>0.58099999999999996</v>
      </c>
      <c r="J21" s="87">
        <f>[12]Mode_h_t_b1!K5</f>
        <v>0</v>
      </c>
      <c r="K21" s="149">
        <f>B21-C21</f>
        <v>5.8287797320526895</v>
      </c>
    </row>
    <row r="22" spans="1:11" ht="15.75" customHeight="1" thickTop="1" thickBot="1" x14ac:dyDescent="0.3">
      <c r="A22" s="96" t="s">
        <v>38</v>
      </c>
      <c r="B22" s="57" t="str">
        <f t="shared" ref="B22:J22" si="3">B2</f>
        <v>β1</v>
      </c>
      <c r="C22" s="57" t="str">
        <f t="shared" si="3"/>
        <v>2.5% CI</v>
      </c>
      <c r="D22" s="57" t="str">
        <f t="shared" si="3"/>
        <v>97.5% CI</v>
      </c>
      <c r="E22" s="57" t="str">
        <f t="shared" si="3"/>
        <v xml:space="preserve">SE </v>
      </c>
      <c r="F22" s="57" t="str">
        <f t="shared" si="3"/>
        <v>t</v>
      </c>
      <c r="G22" s="75" t="str">
        <f t="shared" si="3"/>
        <v>df</v>
      </c>
      <c r="H22" s="72" t="str">
        <f t="shared" si="3"/>
        <v>p. val.</v>
      </c>
      <c r="I22" s="72" t="str">
        <f t="shared" si="3"/>
        <v>p.adj</v>
      </c>
      <c r="J22" s="58" t="str">
        <f t="shared" si="3"/>
        <v>sig.</v>
      </c>
      <c r="K22" s="148" t="s">
        <v>64</v>
      </c>
    </row>
    <row r="23" spans="1:11" ht="15.75" customHeight="1" thickTop="1" thickBot="1" x14ac:dyDescent="0.3">
      <c r="A23" s="92" t="s">
        <v>28</v>
      </c>
      <c r="B23" s="95">
        <f>[9]Mode_l_f0_b1!C6</f>
        <v>2.3580000000000001</v>
      </c>
      <c r="C23" s="95">
        <f>[9]Mode_l_f0_b1!D6</f>
        <v>2.0209588077641998</v>
      </c>
      <c r="D23" s="95">
        <f>[9]Mode_l_f0_b1!E6</f>
        <v>2.6957606420667402</v>
      </c>
      <c r="E23" s="90">
        <f>[9]Mode_l_f0_b1!F6</f>
        <v>0.17199999999999999</v>
      </c>
      <c r="F23" s="90">
        <f>[9]Mode_l_f0_b1!G6</f>
        <v>13.727</v>
      </c>
      <c r="G23" s="95">
        <f>[9]Mode_l_f0_b1!H6</f>
        <v>612.86</v>
      </c>
      <c r="H23" s="89">
        <f>[9]Mode_l_f0_b1!I6</f>
        <v>1.4000000000000001E-37</v>
      </c>
      <c r="I23" s="88">
        <f>[9]Mode_l_f0_b1!J6</f>
        <v>3.4000000000000003E-36</v>
      </c>
      <c r="J23" s="87" t="str">
        <f>[9]Mode_l_f0_b1!K6</f>
        <v>p&lt;0.0001</v>
      </c>
      <c r="K23" s="149">
        <f>B23-C23</f>
        <v>0.33704119223580031</v>
      </c>
    </row>
    <row r="24" spans="1:11" ht="15.75" customHeight="1" thickBot="1" x14ac:dyDescent="0.3">
      <c r="A24" s="92" t="s">
        <v>29</v>
      </c>
      <c r="B24" s="94">
        <f>[10]Mode_h_f0_b1!C6</f>
        <v>4.1059999999999999</v>
      </c>
      <c r="C24" s="94">
        <f>[10]Mode_h_f0_b1!D6</f>
        <v>3.6374300581047301</v>
      </c>
      <c r="D24" s="94">
        <f>[10]Mode_h_f0_b1!E6</f>
        <v>4.5750165191850796</v>
      </c>
      <c r="E24" s="93">
        <f>[10]Mode_h_f0_b1!F6</f>
        <v>0.23899999999999999</v>
      </c>
      <c r="F24" s="93">
        <f>[10]Mode_h_f0_b1!G6</f>
        <v>17.201000000000001</v>
      </c>
      <c r="G24" s="94">
        <f>[10]Mode_h_f0_b1!H6</f>
        <v>618.02</v>
      </c>
      <c r="H24" s="89">
        <f>[10]Mode_h_f0_b1!I6</f>
        <v>1.7999999999999999E-54</v>
      </c>
      <c r="I24" s="88">
        <f>[10]Mode_h_f0_b1!J6</f>
        <v>8.5999999999999999E-53</v>
      </c>
      <c r="J24" s="87" t="str">
        <f>[10]Mode_h_f0_b1!K6</f>
        <v>p&lt;0.0001</v>
      </c>
      <c r="K24" s="149">
        <f>B24-C24</f>
        <v>0.46856994189526979</v>
      </c>
    </row>
    <row r="25" spans="1:11" ht="15.75" customHeight="1" thickBot="1" x14ac:dyDescent="0.3">
      <c r="A25" s="92" t="s">
        <v>30</v>
      </c>
      <c r="B25" s="91">
        <f>[11]Mode_l_t_b1!C6</f>
        <v>-21.452000000000002</v>
      </c>
      <c r="C25" s="91">
        <f>[11]Mode_l_t_b1!D6</f>
        <v>-25.665332374712499</v>
      </c>
      <c r="D25" s="91">
        <f>[11]Mode_l_t_b1!E6</f>
        <v>-17.238892292556901</v>
      </c>
      <c r="E25" s="90">
        <f>[11]Mode_l_t_b1!F6</f>
        <v>2.145</v>
      </c>
      <c r="F25" s="90">
        <f>[11]Mode_l_t_b1!G6</f>
        <v>-10</v>
      </c>
      <c r="G25" s="95">
        <f>[11]Mode_l_t_b1!H6</f>
        <v>595.95000000000005</v>
      </c>
      <c r="H25" s="89">
        <f>[11]Mode_l_t_b1!I6</f>
        <v>7.1999999999999996E-22</v>
      </c>
      <c r="I25" s="88">
        <f>[11]Mode_l_t_b1!J6</f>
        <v>7.6999999999999998E-21</v>
      </c>
      <c r="J25" s="87" t="str">
        <f>[11]Mode_l_t_b1!K6</f>
        <v>p&lt;0.0001</v>
      </c>
      <c r="K25" s="149">
        <f>B25-C25</f>
        <v>4.2133323747124969</v>
      </c>
    </row>
    <row r="26" spans="1:11" ht="15.75" customHeight="1" thickBot="1" x14ac:dyDescent="0.3">
      <c r="A26" s="92" t="s">
        <v>31</v>
      </c>
      <c r="B26" s="91">
        <f>[12]Mode_h_t_b1!C6</f>
        <v>-16.462</v>
      </c>
      <c r="C26" s="91">
        <f>[12]Mode_h_t_b1!D6</f>
        <v>-22.716913416964701</v>
      </c>
      <c r="D26" s="91">
        <f>[12]Mode_h_t_b1!E6</f>
        <v>-10.206576965677501</v>
      </c>
      <c r="E26" s="90">
        <f>[12]Mode_h_t_b1!F6</f>
        <v>3.1850000000000001</v>
      </c>
      <c r="F26" s="90">
        <f>[12]Mode_h_t_b1!G6</f>
        <v>-5.1680000000000001</v>
      </c>
      <c r="G26" s="95">
        <f>[12]Mode_h_t_b1!H6</f>
        <v>615</v>
      </c>
      <c r="H26" s="89">
        <f>[12]Mode_h_t_b1!I6</f>
        <v>3.2000000000000001E-7</v>
      </c>
      <c r="I26" s="88">
        <f>[12]Mode_h_t_b1!J6</f>
        <v>1.1999999999999999E-6</v>
      </c>
      <c r="J26" s="87" t="str">
        <f>[12]Mode_h_t_b1!K6</f>
        <v>p&lt;0.0001</v>
      </c>
      <c r="K26" s="149">
        <f>B26-C26</f>
        <v>6.2549134169647012</v>
      </c>
    </row>
    <row r="27" spans="1:11" ht="15.75" customHeight="1" thickTop="1" thickBot="1" x14ac:dyDescent="0.3">
      <c r="A27" s="96" t="s">
        <v>63</v>
      </c>
      <c r="B27" s="57" t="str">
        <f t="shared" ref="B27:I27" si="4">B2</f>
        <v>β1</v>
      </c>
      <c r="C27" s="57" t="str">
        <f t="shared" si="4"/>
        <v>2.5% CI</v>
      </c>
      <c r="D27" s="57" t="str">
        <f t="shared" si="4"/>
        <v>97.5% CI</v>
      </c>
      <c r="E27" s="57" t="str">
        <f t="shared" si="4"/>
        <v xml:space="preserve">SE </v>
      </c>
      <c r="F27" s="57" t="str">
        <f t="shared" si="4"/>
        <v>t</v>
      </c>
      <c r="G27" s="75" t="str">
        <f t="shared" si="4"/>
        <v>df</v>
      </c>
      <c r="H27" s="72" t="str">
        <f t="shared" si="4"/>
        <v>p. val.</v>
      </c>
      <c r="I27" s="72" t="str">
        <f t="shared" si="4"/>
        <v>p.adj</v>
      </c>
      <c r="J27" s="72" t="str">
        <f>J7</f>
        <v>sig.</v>
      </c>
      <c r="K27" s="148" t="s">
        <v>64</v>
      </c>
    </row>
    <row r="28" spans="1:11" ht="15.75" customHeight="1" thickTop="1" thickBot="1" x14ac:dyDescent="0.3">
      <c r="A28" s="92" t="s">
        <v>28</v>
      </c>
      <c r="B28" s="95">
        <f>[9]Mode_l_f0_b1!C7</f>
        <v>0.86099999999999999</v>
      </c>
      <c r="C28" s="95">
        <f>[9]Mode_l_f0_b1!D7</f>
        <v>0.53228450758934498</v>
      </c>
      <c r="D28" s="95">
        <f>[9]Mode_l_f0_b1!E7</f>
        <v>1.19030558605054</v>
      </c>
      <c r="E28" s="90">
        <f>[9]Mode_l_f0_b1!F7</f>
        <v>0.16800000000000001</v>
      </c>
      <c r="F28" s="90">
        <f>[9]Mode_l_f0_b1!G7</f>
        <v>5.141</v>
      </c>
      <c r="G28" s="95">
        <f>[9]Mode_l_f0_b1!H7</f>
        <v>612.36</v>
      </c>
      <c r="H28" s="89">
        <f>[9]Mode_l_f0_b1!I7</f>
        <v>3.7E-7</v>
      </c>
      <c r="I28" s="88">
        <f>[9]Mode_l_f0_b1!J7</f>
        <v>1.3E-6</v>
      </c>
      <c r="J28" s="87" t="str">
        <f>[9]Mode_l_f0_b1!K7</f>
        <v>p&lt;0.0001</v>
      </c>
      <c r="K28" s="149">
        <f>B28-C28</f>
        <v>0.32871549241065501</v>
      </c>
    </row>
    <row r="29" spans="1:11" ht="15.75" customHeight="1" thickBot="1" x14ac:dyDescent="0.3">
      <c r="A29" s="92" t="s">
        <v>29</v>
      </c>
      <c r="B29" s="94">
        <f>[10]Mode_h_f0_b1!C7</f>
        <v>2.794</v>
      </c>
      <c r="C29" s="94">
        <f>[10]Mode_h_f0_b1!D7</f>
        <v>2.3362844730857</v>
      </c>
      <c r="D29" s="94">
        <f>[10]Mode_h_f0_b1!E7</f>
        <v>3.25082900924733</v>
      </c>
      <c r="E29" s="93">
        <f>[10]Mode_h_f0_b1!F7</f>
        <v>0.23300000000000001</v>
      </c>
      <c r="F29" s="93">
        <f>[10]Mode_h_f0_b1!G7</f>
        <v>11.997</v>
      </c>
      <c r="G29" s="94">
        <f>[10]Mode_h_f0_b1!H7</f>
        <v>617.52</v>
      </c>
      <c r="H29" s="89">
        <f>[10]Mode_h_f0_b1!I7</f>
        <v>5.8999999999999998E-30</v>
      </c>
      <c r="I29" s="88">
        <f>[10]Mode_h_f0_b1!J7</f>
        <v>1.1E-28</v>
      </c>
      <c r="J29" s="87" t="str">
        <f>[10]Mode_h_f0_b1!K7</f>
        <v>p&lt;0.0001</v>
      </c>
      <c r="K29" s="149">
        <f>B29-C29</f>
        <v>0.45771552691430006</v>
      </c>
    </row>
    <row r="30" spans="1:11" ht="15.75" customHeight="1" thickBot="1" x14ac:dyDescent="0.3">
      <c r="A30" s="92" t="s">
        <v>30</v>
      </c>
      <c r="B30" s="91">
        <f>[11]Mode_l_t_b1!C7</f>
        <v>-18.753</v>
      </c>
      <c r="C30" s="91">
        <f>[11]Mode_l_t_b1!D7</f>
        <v>-22.880955572601501</v>
      </c>
      <c r="D30" s="91">
        <f>[11]Mode_l_t_b1!E7</f>
        <v>-14.6252548065235</v>
      </c>
      <c r="E30" s="90">
        <f>[11]Mode_l_t_b1!F7</f>
        <v>2.1019999999999999</v>
      </c>
      <c r="F30" s="90">
        <f>[11]Mode_l_t_b1!G7</f>
        <v>-8.9220000000000006</v>
      </c>
      <c r="G30" s="95">
        <f>[11]Mode_l_t_b1!H7</f>
        <v>609.03</v>
      </c>
      <c r="H30" s="89">
        <f>[11]Mode_l_t_b1!I7</f>
        <v>5.3000000000000003E-18</v>
      </c>
      <c r="I30" s="88">
        <f>[11]Mode_l_t_b1!J7</f>
        <v>4.1999999999999998E-17</v>
      </c>
      <c r="J30" s="87" t="str">
        <f>[11]Mode_l_t_b1!K7</f>
        <v>p&lt;0.0001</v>
      </c>
      <c r="K30" s="149">
        <f>B30-C30</f>
        <v>4.1279555726015005</v>
      </c>
    </row>
    <row r="31" spans="1:11" ht="15.75" customHeight="1" thickBot="1" x14ac:dyDescent="0.3">
      <c r="A31" s="92" t="s">
        <v>31</v>
      </c>
      <c r="B31" s="91">
        <f>[12]Mode_h_t_b1!C7</f>
        <v>-14.356999999999999</v>
      </c>
      <c r="C31" s="91">
        <f>[12]Mode_h_t_b1!D7</f>
        <v>-20.468165663037698</v>
      </c>
      <c r="D31" s="91">
        <f>[12]Mode_h_t_b1!E7</f>
        <v>-8.2453455316897895</v>
      </c>
      <c r="E31" s="90">
        <f>[12]Mode_h_t_b1!F7</f>
        <v>3.1120000000000001</v>
      </c>
      <c r="F31" s="90">
        <f>[12]Mode_h_t_b1!G7</f>
        <v>-4.6130000000000004</v>
      </c>
      <c r="G31" s="95">
        <f>[12]Mode_h_t_b1!H7</f>
        <v>614.38</v>
      </c>
      <c r="H31" s="89">
        <f>[12]Mode_h_t_b1!I7</f>
        <v>4.7999999999999998E-6</v>
      </c>
      <c r="I31" s="88">
        <f>[12]Mode_h_t_b1!J7</f>
        <v>1.5E-5</v>
      </c>
      <c r="J31" s="87" t="str">
        <f>[12]Mode_h_t_b1!K7</f>
        <v>p&lt;0.0001</v>
      </c>
      <c r="K31" s="149">
        <f>B31-C31</f>
        <v>6.1111656630376991</v>
      </c>
    </row>
  </sheetData>
  <mergeCells count="1">
    <mergeCell ref="A1:J1"/>
  </mergeCells>
  <conditionalFormatting sqref="H8:I11 H13:I16 H3:I6 H18:I21 H23:I26 H28:I31">
    <cfRule type="cellIs" dxfId="183" priority="10" stopIfTrue="1" operator="lessThan">
      <formula>0.0001</formula>
    </cfRule>
    <cfRule type="cellIs" dxfId="182" priority="11" stopIfTrue="1" operator="lessThan">
      <formula>0.001</formula>
    </cfRule>
    <cfRule type="cellIs" dxfId="181" priority="12" stopIfTrue="1" operator="lessThan">
      <formula>0.05</formula>
    </cfRule>
    <cfRule type="cellIs" dxfId="180" priority="13" stopIfTrue="1" operator="lessThan">
      <formula>0.1</formula>
    </cfRule>
  </conditionalFormatting>
  <conditionalFormatting sqref="J8:J11 J13:J16 J3:J6 J18:J21 J23:J26 J28:J31">
    <cfRule type="containsText" dxfId="179" priority="5" stopIfTrue="1" operator="containsText" text="p&lt;0.0001">
      <formula>NOT(ISERROR(SEARCH("p&lt;0.0001",J3)))</formula>
    </cfRule>
    <cfRule type="containsText" dxfId="178" priority="6" stopIfTrue="1" operator="containsText" text="p&lt;0.001">
      <formula>NOT(ISERROR(SEARCH("p&lt;0.001",J3)))</formula>
    </cfRule>
    <cfRule type="containsText" dxfId="177" priority="7" stopIfTrue="1" operator="containsText" text="p&lt;0.01">
      <formula>NOT(ISERROR(SEARCH("p&lt;0.01",J3)))</formula>
    </cfRule>
    <cfRule type="containsText" dxfId="176" priority="8" stopIfTrue="1" operator="containsText" text="p&lt;0.05">
      <formula>NOT(ISERROR(SEARCH("p&lt;0.05",J3)))</formula>
    </cfRule>
    <cfRule type="containsText" dxfId="175" priority="9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7AF7-615A-46E9-BEE5-757044882DC8}">
  <dimension ref="D5:AA34"/>
  <sheetViews>
    <sheetView showGridLines="0" zoomScale="70" zoomScaleNormal="70" workbookViewId="0">
      <selection activeCell="J30" sqref="J30"/>
    </sheetView>
  </sheetViews>
  <sheetFormatPr defaultRowHeight="14.4" x14ac:dyDescent="0.3"/>
  <cols>
    <col min="16" max="16" width="3" customWidth="1"/>
    <col min="24" max="24" width="3.6640625" customWidth="1"/>
    <col min="25" max="25" width="3.33203125" customWidth="1"/>
  </cols>
  <sheetData>
    <row r="5" spans="24:27" ht="15" customHeight="1" x14ac:dyDescent="0.3"/>
    <row r="10" spans="24:27" x14ac:dyDescent="0.3">
      <c r="X10" s="5"/>
      <c r="Y10" s="5"/>
      <c r="Z10" s="5"/>
      <c r="AA10" s="5"/>
    </row>
    <row r="27" spans="4:5" x14ac:dyDescent="0.3">
      <c r="D27" t="s">
        <v>52</v>
      </c>
    </row>
    <row r="29" spans="4:5" x14ac:dyDescent="0.3">
      <c r="E29" t="s">
        <v>52</v>
      </c>
    </row>
    <row r="33" spans="5:6" x14ac:dyDescent="0.3">
      <c r="F33" t="s">
        <v>19</v>
      </c>
    </row>
    <row r="34" spans="5:6" x14ac:dyDescent="0.3">
      <c r="E34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FD21-A708-4270-BB71-D8B3C8E7DEE4}">
  <sheetPr>
    <pageSetUpPr fitToPage="1"/>
  </sheetPr>
  <dimension ref="A1:AA102"/>
  <sheetViews>
    <sheetView showGridLines="0" zoomScale="111" zoomScaleNormal="111" zoomScaleSheetLayoutView="47" workbookViewId="0">
      <selection activeCell="B4" sqref="B4"/>
    </sheetView>
  </sheetViews>
  <sheetFormatPr defaultColWidth="13.88671875" defaultRowHeight="13.2" x14ac:dyDescent="0.25"/>
  <cols>
    <col min="1" max="1" width="17.109375" style="34" customWidth="1"/>
    <col min="2" max="8" width="11.88671875" style="35" customWidth="1"/>
    <col min="9" max="10" width="11.88671875" style="36" customWidth="1"/>
    <col min="11" max="14" width="11.88671875" style="35" customWidth="1"/>
    <col min="15" max="15" width="11.88671875" style="37" customWidth="1"/>
    <col min="16" max="16" width="11.44140625" style="37" customWidth="1"/>
    <col min="17" max="18" width="7.6640625" style="35" customWidth="1"/>
    <col min="19" max="20" width="11.44140625" style="35" customWidth="1"/>
    <col min="21" max="21" width="8.6640625" style="35" customWidth="1"/>
    <col min="22" max="23" width="11.44140625" style="35" customWidth="1"/>
    <col min="24" max="24" width="11.109375" style="37" customWidth="1"/>
    <col min="25" max="25" width="11.44140625" style="37" customWidth="1"/>
    <col min="26" max="27" width="11.44140625" style="35" customWidth="1"/>
    <col min="28" max="16384" width="13.88671875" style="38"/>
  </cols>
  <sheetData>
    <row r="1" spans="1:27" s="199" customFormat="1" ht="24" customHeight="1" thickBot="1" x14ac:dyDescent="0.45">
      <c r="A1" s="260" t="s">
        <v>69</v>
      </c>
      <c r="B1" s="260"/>
      <c r="C1" s="260"/>
      <c r="D1" s="260"/>
      <c r="E1" s="260"/>
      <c r="F1" s="260"/>
      <c r="G1" s="260"/>
      <c r="H1" s="260"/>
      <c r="I1" s="260"/>
      <c r="J1" s="260"/>
      <c r="K1" s="201"/>
      <c r="L1" s="261" t="s">
        <v>76</v>
      </c>
      <c r="M1" s="261"/>
      <c r="N1" s="261"/>
      <c r="O1" s="202"/>
      <c r="P1" s="202"/>
      <c r="Q1" s="201"/>
      <c r="R1" s="201"/>
      <c r="S1" s="201"/>
      <c r="T1" s="201"/>
      <c r="U1" s="201"/>
      <c r="V1" s="201"/>
      <c r="W1" s="201"/>
      <c r="X1" s="202"/>
      <c r="Y1" s="202"/>
      <c r="Z1" s="201"/>
      <c r="AA1" s="201"/>
    </row>
    <row r="2" spans="1:27" ht="15.75" customHeight="1" thickTop="1" thickBot="1" x14ac:dyDescent="0.3">
      <c r="A2" s="39" t="s">
        <v>14</v>
      </c>
      <c r="B2" s="39" t="s">
        <v>33</v>
      </c>
      <c r="C2" s="39" t="s">
        <v>7</v>
      </c>
      <c r="D2" s="39" t="s">
        <v>8</v>
      </c>
      <c r="E2" s="39" t="str">
        <f>[13]Mode_PA_l_f0_b0!E1</f>
        <v>std.error</v>
      </c>
      <c r="F2" s="57" t="s">
        <v>6</v>
      </c>
      <c r="G2" s="75" t="s">
        <v>9</v>
      </c>
      <c r="H2" s="58" t="s">
        <v>18</v>
      </c>
      <c r="I2" s="58" t="s">
        <v>40</v>
      </c>
      <c r="J2" s="58" t="s">
        <v>21</v>
      </c>
      <c r="K2" s="38"/>
      <c r="L2" s="39" t="s">
        <v>66</v>
      </c>
      <c r="M2" s="39" t="s">
        <v>67</v>
      </c>
      <c r="N2" s="39" t="s">
        <v>68</v>
      </c>
    </row>
    <row r="3" spans="1:27" ht="15.75" customHeight="1" thickTop="1" thickBot="1" x14ac:dyDescent="0.3">
      <c r="A3" s="41" t="s">
        <v>28</v>
      </c>
      <c r="B3" s="41">
        <f>[13]Mode_PA_l_f0_b0!B2</f>
        <v>83.99</v>
      </c>
      <c r="C3" s="41">
        <f>[13]Mode_PA_l_f0_b0!C2</f>
        <v>80.453351074980304</v>
      </c>
      <c r="D3" s="41">
        <f>[13]Mode_PA_l_f0_b0!D2</f>
        <v>87.527230630068203</v>
      </c>
      <c r="E3" s="42">
        <f>[13]Mode_PA_l_f0_b0!E2</f>
        <v>1.623</v>
      </c>
      <c r="F3" s="42">
        <f>[13]Mode_PA_l_f0_b0!F2</f>
        <v>51.753</v>
      </c>
      <c r="G3" s="42">
        <f>[13]Mode_PA_l_f0_b0!G2</f>
        <v>11.97</v>
      </c>
      <c r="H3" s="43">
        <f>[13]Mode_PA_l_f0_b0!H2</f>
        <v>1.9000000000000001E-15</v>
      </c>
      <c r="I3" s="44">
        <f>[13]Mode_PA_l_f0_b0!I2</f>
        <v>1.1999999999999999E-14</v>
      </c>
      <c r="J3" s="45" t="str">
        <f>[13]Mode_PA_l_f0_b0!J2</f>
        <v>p&lt;0.0001</v>
      </c>
      <c r="K3" s="38"/>
      <c r="L3" s="167" t="s">
        <v>41</v>
      </c>
      <c r="M3" s="225">
        <f>[14]Mode_PA_l_f0_r2!B3</f>
        <v>5.6672945964226902E-2</v>
      </c>
      <c r="N3" s="225">
        <f>[14]Mode_PA_l_f0_r2!B2</f>
        <v>0.95092595995270601</v>
      </c>
    </row>
    <row r="4" spans="1:27" ht="15.75" customHeight="1" thickBot="1" x14ac:dyDescent="0.3">
      <c r="A4" s="46" t="s">
        <v>29</v>
      </c>
      <c r="B4" s="46">
        <f>[15]Mode_PA_h_f0_b0!B2</f>
        <v>90.16</v>
      </c>
      <c r="C4" s="46">
        <f>[15]Mode_PA_h_f0_b0!C2</f>
        <v>86.123044297759193</v>
      </c>
      <c r="D4" s="46">
        <f>[15]Mode_PA_h_f0_b0!D2</f>
        <v>94.197953153150294</v>
      </c>
      <c r="E4" s="47">
        <f>[15]Mode_PA_h_f0_b0!E2</f>
        <v>1.8029999999999999</v>
      </c>
      <c r="F4" s="47">
        <f>[15]Mode_PA_h_f0_b0!F2</f>
        <v>50.005000000000003</v>
      </c>
      <c r="G4" s="47">
        <f>[15]Mode_PA_h_f0_b0!G2</f>
        <v>9.65</v>
      </c>
      <c r="H4" s="48">
        <f>[15]Mode_PA_h_f0_b0!H2</f>
        <v>5.6000000000000004E-13</v>
      </c>
      <c r="I4" s="49">
        <f>[15]Mode_PA_h_f0_b0!I2</f>
        <v>1.2999999999999999E-12</v>
      </c>
      <c r="J4" s="50" t="str">
        <f>[15]Mode_PA_h_f0_b0!J2</f>
        <v>p&lt;0.0001</v>
      </c>
      <c r="K4" s="38"/>
      <c r="L4" s="170" t="s">
        <v>42</v>
      </c>
      <c r="M4" s="226">
        <f>[16]Mode_PA_h_f0_r2!B3</f>
        <v>0.119041298332575</v>
      </c>
      <c r="N4" s="226">
        <f>[16]Mode_PA_h_f0_r2!B2</f>
        <v>0.90843440193036995</v>
      </c>
    </row>
    <row r="5" spans="1:27" ht="15.75" customHeight="1" thickBot="1" x14ac:dyDescent="0.3">
      <c r="A5" s="51" t="s">
        <v>30</v>
      </c>
      <c r="B5" s="51">
        <f>[17]Mode_PA_l_t_b0!B2</f>
        <v>67.408000000000001</v>
      </c>
      <c r="C5" s="51">
        <f>[17]Mode_PA_l_t_b0!C2</f>
        <v>45.906075043170702</v>
      </c>
      <c r="D5" s="51">
        <f>[17]Mode_PA_l_t_b0!D2</f>
        <v>88.909427524989596</v>
      </c>
      <c r="E5" s="46">
        <f>[17]Mode_PA_l_t_b0!E2</f>
        <v>9.8879999999999999</v>
      </c>
      <c r="F5" s="47">
        <f>[17]Mode_PA_l_t_b0!F2</f>
        <v>6.8170000000000002</v>
      </c>
      <c r="G5" s="47">
        <f>[17]Mode_PA_l_t_b0!G2</f>
        <v>12.22</v>
      </c>
      <c r="H5" s="48">
        <f>[17]Mode_PA_l_t_b0!H2</f>
        <v>1.7E-5</v>
      </c>
      <c r="I5" s="49">
        <f>[17]Mode_PA_l_t_b0!I2</f>
        <v>2.8E-5</v>
      </c>
      <c r="J5" s="50" t="str">
        <f>[17]Mode_PA_l_t_b0!J2</f>
        <v>p&lt;0.0001</v>
      </c>
      <c r="K5" s="38"/>
      <c r="L5" s="173" t="s">
        <v>4</v>
      </c>
      <c r="M5" s="226">
        <f>[18]Mode_PA_l_t_r2!B3</f>
        <v>7.2121393405386897E-2</v>
      </c>
      <c r="N5" s="226">
        <f>[18]Mode_PA_l_t_r2!B2</f>
        <v>0.77329835004832403</v>
      </c>
    </row>
    <row r="6" spans="1:27" ht="15.75" customHeight="1" thickBot="1" x14ac:dyDescent="0.3">
      <c r="A6" s="51" t="s">
        <v>31</v>
      </c>
      <c r="B6" s="51">
        <f>[19]Mode_PA_h_t_b0!B2</f>
        <v>268.214</v>
      </c>
      <c r="C6" s="51">
        <f>[19]Mode_PA_h_t_b0!C2</f>
        <v>187.77360112485999</v>
      </c>
      <c r="D6" s="51">
        <f>[19]Mode_PA_h_t_b0!D2</f>
        <v>348.655341966148</v>
      </c>
      <c r="E6" s="46">
        <f>[19]Mode_PA_h_t_b0!E2</f>
        <v>30.707999999999998</v>
      </c>
      <c r="F6" s="47">
        <f>[19]Mode_PA_h_t_b0!F2</f>
        <v>8.734</v>
      </c>
      <c r="G6" s="47">
        <f>[19]Mode_PA_h_t_b0!G2</f>
        <v>4.71</v>
      </c>
      <c r="H6" s="52">
        <f>[19]Mode_PA_h_t_b0!H2</f>
        <v>4.4000000000000002E-4</v>
      </c>
      <c r="I6" s="52">
        <f>[19]Mode_PA_h_t_b0!I2</f>
        <v>5.1999999999999995E-4</v>
      </c>
      <c r="J6" s="50" t="str">
        <f>[19]Mode_PA_h_t_b0!J2</f>
        <v>p&lt;0.001</v>
      </c>
      <c r="K6" s="38"/>
      <c r="L6" s="174" t="s">
        <v>3</v>
      </c>
      <c r="M6" s="226">
        <f>[20]Mode_PA_h_t_r2!B3</f>
        <v>2.16840471179113E-2</v>
      </c>
      <c r="N6" s="226">
        <f>[20]Mode_PA_h_t_r2!B2</f>
        <v>0.85479648531734098</v>
      </c>
    </row>
    <row r="7" spans="1:27" ht="15.75" customHeight="1" thickTop="1" thickBot="1" x14ac:dyDescent="0.3">
      <c r="A7" s="39" t="s">
        <v>15</v>
      </c>
      <c r="B7" s="39" t="str">
        <f t="shared" ref="B7:J7" si="0">B2</f>
        <v>est.</v>
      </c>
      <c r="C7" s="39" t="str">
        <f t="shared" si="0"/>
        <v>2.5% CI</v>
      </c>
      <c r="D7" s="39" t="str">
        <f t="shared" si="0"/>
        <v>97.5% CI</v>
      </c>
      <c r="E7" s="39" t="str">
        <f t="shared" si="0"/>
        <v>std.error</v>
      </c>
      <c r="F7" s="39" t="str">
        <f t="shared" si="0"/>
        <v>t</v>
      </c>
      <c r="G7" s="39" t="str">
        <f t="shared" si="0"/>
        <v>df</v>
      </c>
      <c r="H7" s="39" t="str">
        <f t="shared" si="0"/>
        <v>p. val.</v>
      </c>
      <c r="I7" s="39" t="str">
        <f t="shared" si="0"/>
        <v>p.adj.</v>
      </c>
      <c r="J7" s="39" t="str">
        <f t="shared" si="0"/>
        <v>sig.</v>
      </c>
      <c r="M7" s="37"/>
      <c r="N7" s="37"/>
      <c r="O7" s="35"/>
      <c r="P7" s="35"/>
      <c r="V7" s="37"/>
      <c r="W7" s="37"/>
      <c r="X7" s="35"/>
      <c r="Y7" s="35"/>
      <c r="Z7" s="38"/>
      <c r="AA7" s="38"/>
    </row>
    <row r="8" spans="1:27" ht="15.75" customHeight="1" thickTop="1" x14ac:dyDescent="0.25">
      <c r="A8" s="41" t="str">
        <f>A3</f>
        <v>l_f0</v>
      </c>
      <c r="B8" s="41">
        <f>[13]Mode_PA_l_f0_b0!B3</f>
        <v>84.075999999999993</v>
      </c>
      <c r="C8" s="41">
        <f>[13]Mode_PA_l_f0_b0!C3</f>
        <v>80.539039447165607</v>
      </c>
      <c r="D8" s="41">
        <f>[13]Mode_PA_l_f0_b0!D3</f>
        <v>87.613137543283798</v>
      </c>
      <c r="E8" s="42">
        <f>[13]Mode_PA_l_f0_b0!E3</f>
        <v>1.623</v>
      </c>
      <c r="F8" s="42">
        <f>[13]Mode_PA_l_f0_b0!F3</f>
        <v>51.802999999999997</v>
      </c>
      <c r="G8" s="42">
        <f>[13]Mode_PA_l_f0_b0!G3</f>
        <v>11.97</v>
      </c>
      <c r="H8" s="43">
        <f>[13]Mode_PA_l_f0_b0!H3</f>
        <v>1.9000000000000001E-15</v>
      </c>
      <c r="I8" s="43">
        <f>[13]Mode_PA_l_f0_b0!I3</f>
        <v>1.1999999999999999E-14</v>
      </c>
      <c r="J8" s="45" t="str">
        <f>[13]Mode_PA_l_f0_b0!J3</f>
        <v>p&lt;0.0001</v>
      </c>
      <c r="M8" s="37"/>
      <c r="N8" s="37"/>
      <c r="O8" s="35"/>
      <c r="P8" s="35"/>
      <c r="V8" s="37"/>
      <c r="W8" s="37"/>
      <c r="X8" s="35"/>
      <c r="Y8" s="35"/>
      <c r="Z8" s="38"/>
      <c r="AA8" s="38"/>
    </row>
    <row r="9" spans="1:27" ht="15.75" customHeight="1" x14ac:dyDescent="0.25">
      <c r="A9" s="46" t="str">
        <f>A4</f>
        <v>h_f0</v>
      </c>
      <c r="B9" s="46">
        <f>[15]Mode_PA_h_f0_b0!B3</f>
        <v>90.578000000000003</v>
      </c>
      <c r="C9" s="47">
        <f>[15]Mode_PA_h_f0_b0!C3</f>
        <v>86.540423226981304</v>
      </c>
      <c r="D9" s="47">
        <f>[15]Mode_PA_h_f0_b0!D3</f>
        <v>94.615525956752506</v>
      </c>
      <c r="E9" s="47">
        <f>[15]Mode_PA_h_f0_b0!E3</f>
        <v>1.8029999999999999</v>
      </c>
      <c r="F9" s="47">
        <f>[15]Mode_PA_h_f0_b0!F3</f>
        <v>50.234000000000002</v>
      </c>
      <c r="G9" s="47">
        <f>[15]Mode_PA_h_f0_b0!G3</f>
        <v>9.65</v>
      </c>
      <c r="H9" s="48">
        <f>[15]Mode_PA_h_f0_b0!H3</f>
        <v>5.4000000000000002E-13</v>
      </c>
      <c r="I9" s="48">
        <f>[15]Mode_PA_h_f0_b0!I3</f>
        <v>1.2999999999999999E-12</v>
      </c>
      <c r="J9" s="50" t="str">
        <f>[15]Mode_PA_h_f0_b0!J3</f>
        <v>p&lt;0.0001</v>
      </c>
      <c r="M9" s="37"/>
      <c r="N9" s="37"/>
      <c r="O9" s="35"/>
      <c r="P9" s="35"/>
      <c r="V9" s="37"/>
      <c r="W9" s="37"/>
      <c r="X9" s="35"/>
      <c r="Y9" s="35"/>
      <c r="Z9" s="38"/>
      <c r="AA9" s="38"/>
    </row>
    <row r="10" spans="1:27" ht="15.75" customHeight="1" x14ac:dyDescent="0.25">
      <c r="A10" s="51" t="str">
        <f>A5</f>
        <v>l_t</v>
      </c>
      <c r="B10" s="51">
        <f>[17]Mode_PA_l_t_b0!B3</f>
        <v>67.731999999999999</v>
      </c>
      <c r="C10" s="47">
        <f>[17]Mode_PA_l_t_b0!C3</f>
        <v>46.229535903865603</v>
      </c>
      <c r="D10" s="47">
        <f>[17]Mode_PA_l_t_b0!D3</f>
        <v>89.235346654396906</v>
      </c>
      <c r="E10" s="47">
        <f>[17]Mode_PA_l_t_b0!E3</f>
        <v>9.8889999999999993</v>
      </c>
      <c r="F10" s="47">
        <f>[17]Mode_PA_l_t_b0!F3</f>
        <v>6.8490000000000002</v>
      </c>
      <c r="G10" s="47">
        <f>[17]Mode_PA_l_t_b0!G3</f>
        <v>12.22</v>
      </c>
      <c r="H10" s="48">
        <f>[17]Mode_PA_l_t_b0!H3</f>
        <v>1.5999999999999999E-5</v>
      </c>
      <c r="I10" s="48">
        <f>[17]Mode_PA_l_t_b0!I3</f>
        <v>2.8E-5</v>
      </c>
      <c r="J10" s="50" t="str">
        <f>[17]Mode_PA_l_t_b0!J3</f>
        <v>p&lt;0.0001</v>
      </c>
      <c r="M10" s="37"/>
      <c r="N10" s="37"/>
      <c r="O10" s="35"/>
      <c r="P10" s="35"/>
      <c r="V10" s="37"/>
      <c r="W10" s="37"/>
      <c r="X10" s="35"/>
      <c r="Y10" s="35"/>
      <c r="Z10" s="38"/>
      <c r="AA10" s="38"/>
    </row>
    <row r="11" spans="1:27" ht="15.75" customHeight="1" thickBot="1" x14ac:dyDescent="0.3">
      <c r="A11" s="51" t="str">
        <f>A6</f>
        <v>h_t</v>
      </c>
      <c r="B11" s="51">
        <f>[19]Mode_PA_h_t_b0!B3</f>
        <v>267.76299999999998</v>
      </c>
      <c r="C11" s="47">
        <f>[19]Mode_PA_h_t_b0!C3</f>
        <v>187.32325202228199</v>
      </c>
      <c r="D11" s="47">
        <f>[19]Mode_PA_h_t_b0!D3</f>
        <v>348.20302685774101</v>
      </c>
      <c r="E11" s="47">
        <f>[19]Mode_PA_h_t_b0!E3</f>
        <v>30.709</v>
      </c>
      <c r="F11" s="47">
        <f>[19]Mode_PA_h_t_b0!F3</f>
        <v>8.7189999999999994</v>
      </c>
      <c r="G11" s="47">
        <f>[19]Mode_PA_h_t_b0!G3</f>
        <v>4.71</v>
      </c>
      <c r="H11" s="48">
        <f>[19]Mode_PA_h_t_b0!H3</f>
        <v>4.4000000000000002E-4</v>
      </c>
      <c r="I11" s="52">
        <f>[19]Mode_PA_h_t_b0!I3</f>
        <v>5.1999999999999995E-4</v>
      </c>
      <c r="J11" s="50" t="str">
        <f>[19]Mode_PA_h_t_b0!J3</f>
        <v>p&lt;0.001</v>
      </c>
      <c r="M11" s="37"/>
      <c r="N11" s="37"/>
      <c r="O11" s="35"/>
      <c r="P11" s="35"/>
      <c r="V11" s="37"/>
      <c r="W11" s="37"/>
      <c r="X11" s="35"/>
      <c r="Y11" s="35"/>
      <c r="Z11" s="38"/>
      <c r="AA11" s="38"/>
    </row>
    <row r="12" spans="1:27" ht="15.75" customHeight="1" thickTop="1" thickBot="1" x14ac:dyDescent="0.3">
      <c r="A12" s="39" t="s">
        <v>16</v>
      </c>
      <c r="B12" s="39" t="str">
        <f t="shared" ref="B12:J12" si="1">B2</f>
        <v>est.</v>
      </c>
      <c r="C12" s="39" t="str">
        <f t="shared" si="1"/>
        <v>2.5% CI</v>
      </c>
      <c r="D12" s="39" t="str">
        <f t="shared" si="1"/>
        <v>97.5% CI</v>
      </c>
      <c r="E12" s="39" t="str">
        <f t="shared" si="1"/>
        <v>std.error</v>
      </c>
      <c r="F12" s="39" t="str">
        <f t="shared" si="1"/>
        <v>t</v>
      </c>
      <c r="G12" s="39" t="str">
        <f t="shared" si="1"/>
        <v>df</v>
      </c>
      <c r="H12" s="39" t="str">
        <f t="shared" si="1"/>
        <v>p. val.</v>
      </c>
      <c r="I12" s="39" t="str">
        <f t="shared" si="1"/>
        <v>p.adj.</v>
      </c>
      <c r="J12" s="39" t="str">
        <f t="shared" si="1"/>
        <v>sig.</v>
      </c>
      <c r="M12" s="37"/>
      <c r="N12" s="37"/>
      <c r="O12" s="35"/>
      <c r="P12" s="35"/>
      <c r="V12" s="37"/>
      <c r="W12" s="37"/>
      <c r="X12" s="35"/>
      <c r="Y12" s="35"/>
      <c r="Z12" s="38"/>
      <c r="AA12" s="38"/>
    </row>
    <row r="13" spans="1:27" ht="15.75" customHeight="1" thickTop="1" x14ac:dyDescent="0.25">
      <c r="A13" s="41" t="str">
        <f>A3</f>
        <v>l_f0</v>
      </c>
      <c r="B13" s="41">
        <f>[13]Mode_PA_l_f0_b0!B4</f>
        <v>85.177999999999997</v>
      </c>
      <c r="C13" s="41">
        <f>[13]Mode_PA_l_f0_b0!C4</f>
        <v>81.639854239581595</v>
      </c>
      <c r="D13" s="41">
        <f>[13]Mode_PA_l_f0_b0!D4</f>
        <v>88.716349917043104</v>
      </c>
      <c r="E13" s="42">
        <f>[13]Mode_PA_l_f0_b0!E4</f>
        <v>1.6240000000000001</v>
      </c>
      <c r="F13" s="42">
        <f>[13]Mode_PA_l_f0_b0!F4</f>
        <v>52.45</v>
      </c>
      <c r="G13" s="42">
        <f>[13]Mode_PA_l_f0_b0!G4</f>
        <v>12</v>
      </c>
      <c r="H13" s="53">
        <f>[13]Mode_PA_l_f0_b0!H4</f>
        <v>1.4999999999999999E-15</v>
      </c>
      <c r="I13" s="53">
        <f>[13]Mode_PA_l_f0_b0!I4</f>
        <v>1.1999999999999999E-14</v>
      </c>
      <c r="J13" s="45" t="str">
        <f>[13]Mode_PA_l_f0_b0!J4</f>
        <v>p&lt;0.0001</v>
      </c>
      <c r="M13" s="37"/>
      <c r="N13" s="37"/>
      <c r="O13" s="35"/>
      <c r="P13" s="35"/>
      <c r="V13" s="37"/>
      <c r="W13" s="37"/>
      <c r="X13" s="35"/>
      <c r="Y13" s="35"/>
      <c r="Z13" s="38"/>
      <c r="AA13" s="38"/>
    </row>
    <row r="14" spans="1:27" ht="15.75" customHeight="1" x14ac:dyDescent="0.25">
      <c r="A14" s="46" t="str">
        <f>A4</f>
        <v>h_f0</v>
      </c>
      <c r="B14" s="46">
        <f>[15]Mode_PA_h_f0_b0!B4</f>
        <v>91.29</v>
      </c>
      <c r="C14" s="46">
        <f>[15]Mode_PA_h_f0_b0!C4</f>
        <v>87.250257427373995</v>
      </c>
      <c r="D14" s="46">
        <f>[15]Mode_PA_h_f0_b0!D4</f>
        <v>95.329182325812198</v>
      </c>
      <c r="E14" s="47">
        <f>[15]Mode_PA_h_f0_b0!E4</f>
        <v>1.8049999999999999</v>
      </c>
      <c r="F14" s="47">
        <f>[15]Mode_PA_h_f0_b0!F4</f>
        <v>50.573999999999998</v>
      </c>
      <c r="G14" s="47">
        <f>[15]Mode_PA_h_f0_b0!G4</f>
        <v>9.69</v>
      </c>
      <c r="H14" s="54">
        <f>[15]Mode_PA_h_f0_b0!H4</f>
        <v>4.5999999999999996E-13</v>
      </c>
      <c r="I14" s="54">
        <f>[15]Mode_PA_h_f0_b0!I4</f>
        <v>1.1999999999999999E-12</v>
      </c>
      <c r="J14" s="50" t="str">
        <f>[15]Mode_PA_h_f0_b0!J4</f>
        <v>p&lt;0.0001</v>
      </c>
      <c r="M14" s="37"/>
      <c r="N14" s="37"/>
      <c r="O14" s="35"/>
      <c r="P14" s="35"/>
      <c r="V14" s="37"/>
      <c r="W14" s="37"/>
      <c r="X14" s="35"/>
      <c r="Y14" s="35"/>
      <c r="Z14" s="38"/>
      <c r="AA14" s="38"/>
    </row>
    <row r="15" spans="1:27" ht="15.75" customHeight="1" x14ac:dyDescent="0.25">
      <c r="A15" s="51" t="str">
        <f>A5</f>
        <v>l_t</v>
      </c>
      <c r="B15" s="51">
        <f>[17]Mode_PA_l_t_b0!B4</f>
        <v>69.475999999999999</v>
      </c>
      <c r="C15" s="51">
        <f>[17]Mode_PA_l_t_b0!C4</f>
        <v>47.925440531509501</v>
      </c>
      <c r="D15" s="51">
        <f>[17]Mode_PA_l_t_b0!D4</f>
        <v>91.026647140951795</v>
      </c>
      <c r="E15" s="47">
        <f>[17]Mode_PA_l_t_b0!E4</f>
        <v>9.9280000000000008</v>
      </c>
      <c r="F15" s="47">
        <f>[17]Mode_PA_l_t_b0!F4</f>
        <v>6.9980000000000002</v>
      </c>
      <c r="G15" s="47">
        <f>[17]Mode_PA_l_t_b0!G4</f>
        <v>12.42</v>
      </c>
      <c r="H15" s="55">
        <f>[17]Mode_PA_l_t_b0!H4</f>
        <v>1.2E-5</v>
      </c>
      <c r="I15" s="55">
        <f>[17]Mode_PA_l_t_b0!I4</f>
        <v>2.3E-5</v>
      </c>
      <c r="J15" s="50" t="str">
        <f>[17]Mode_PA_l_t_b0!J4</f>
        <v>p&lt;0.0001</v>
      </c>
      <c r="M15" s="37"/>
      <c r="N15" s="37"/>
      <c r="O15" s="35"/>
      <c r="P15" s="35"/>
      <c r="V15" s="37"/>
      <c r="W15" s="37"/>
      <c r="X15" s="35"/>
      <c r="Y15" s="35"/>
      <c r="Z15" s="38"/>
      <c r="AA15" s="38"/>
    </row>
    <row r="16" spans="1:27" ht="15.75" customHeight="1" thickBot="1" x14ac:dyDescent="0.3">
      <c r="A16" s="51" t="str">
        <f>A6</f>
        <v>h_t</v>
      </c>
      <c r="B16" s="51">
        <f>[19]Mode_PA_h_t_b0!B4</f>
        <v>268.13499999999999</v>
      </c>
      <c r="C16" s="51">
        <f>[19]Mode_PA_h_t_b0!C4</f>
        <v>187.71463745543801</v>
      </c>
      <c r="D16" s="51">
        <f>[19]Mode_PA_h_t_b0!D4</f>
        <v>348.55535531186501</v>
      </c>
      <c r="E16" s="47">
        <f>[19]Mode_PA_h_t_b0!E4</f>
        <v>30.734999999999999</v>
      </c>
      <c r="F16" s="47">
        <f>[19]Mode_PA_h_t_b0!F4</f>
        <v>8.7240000000000002</v>
      </c>
      <c r="G16" s="47">
        <f>[19]Mode_PA_h_t_b0!G4</f>
        <v>4.72</v>
      </c>
      <c r="H16" s="55">
        <f>[19]Mode_PA_h_t_b0!H4</f>
        <v>4.4000000000000002E-4</v>
      </c>
      <c r="I16" s="55">
        <f>[19]Mode_PA_h_t_b0!I4</f>
        <v>5.1999999999999995E-4</v>
      </c>
      <c r="J16" s="50" t="str">
        <f>[19]Mode_PA_h_t_b0!J4</f>
        <v>p&lt;0.001</v>
      </c>
      <c r="M16" s="37"/>
      <c r="N16" s="37"/>
      <c r="O16" s="35"/>
      <c r="P16" s="35"/>
      <c r="V16" s="37"/>
      <c r="W16" s="37"/>
      <c r="X16" s="35"/>
      <c r="Y16" s="35"/>
      <c r="Z16" s="38"/>
      <c r="AA16" s="38"/>
    </row>
    <row r="17" spans="1:27" ht="15.75" customHeight="1" thickTop="1" thickBot="1" x14ac:dyDescent="0.3">
      <c r="A17" s="39" t="s">
        <v>17</v>
      </c>
      <c r="B17" s="39" t="str">
        <f t="shared" ref="B17:J17" si="2">B2</f>
        <v>est.</v>
      </c>
      <c r="C17" s="39" t="str">
        <f t="shared" si="2"/>
        <v>2.5% CI</v>
      </c>
      <c r="D17" s="39" t="str">
        <f t="shared" si="2"/>
        <v>97.5% CI</v>
      </c>
      <c r="E17" s="39" t="str">
        <f t="shared" si="2"/>
        <v>std.error</v>
      </c>
      <c r="F17" s="39" t="str">
        <f t="shared" si="2"/>
        <v>t</v>
      </c>
      <c r="G17" s="39" t="str">
        <f t="shared" si="2"/>
        <v>df</v>
      </c>
      <c r="H17" s="39" t="str">
        <f t="shared" si="2"/>
        <v>p. val.</v>
      </c>
      <c r="I17" s="39" t="str">
        <f t="shared" si="2"/>
        <v>p.adj.</v>
      </c>
      <c r="J17" s="39" t="str">
        <f t="shared" si="2"/>
        <v>sig.</v>
      </c>
      <c r="M17" s="37"/>
      <c r="N17" s="37"/>
      <c r="O17" s="35"/>
      <c r="P17" s="35"/>
      <c r="V17" s="37"/>
      <c r="W17" s="37"/>
      <c r="X17" s="35"/>
      <c r="Y17" s="35"/>
      <c r="Z17" s="38"/>
      <c r="AA17" s="38"/>
    </row>
    <row r="18" spans="1:27" ht="15.75" customHeight="1" thickTop="1" x14ac:dyDescent="0.25">
      <c r="A18" s="41" t="str">
        <f>A3</f>
        <v>l_f0</v>
      </c>
      <c r="B18" s="41">
        <f>[13]Mode_PA_l_f0_b0!B5</f>
        <v>85.031999999999996</v>
      </c>
      <c r="C18" s="41">
        <f>[13]Mode_PA_l_f0_b0!C5</f>
        <v>81.489369407447299</v>
      </c>
      <c r="D18" s="41">
        <f>[13]Mode_PA_l_f0_b0!D5</f>
        <v>88.574801692886098</v>
      </c>
      <c r="E18" s="42">
        <f>[13]Mode_PA_l_f0_b0!E5</f>
        <v>1.6279999999999999</v>
      </c>
      <c r="F18" s="42">
        <f>[13]Mode_PA_l_f0_b0!F5</f>
        <v>52.24</v>
      </c>
      <c r="G18" s="42">
        <f>[13]Mode_PA_l_f0_b0!G5</f>
        <v>12.12</v>
      </c>
      <c r="H18" s="53">
        <f>[13]Mode_PA_l_f0_b0!H5</f>
        <v>1.2E-15</v>
      </c>
      <c r="I18" s="56">
        <f>[13]Mode_PA_l_f0_b0!I5</f>
        <v>1.1999999999999999E-14</v>
      </c>
      <c r="J18" s="45" t="str">
        <f>[13]Mode_PA_l_f0_b0!J5</f>
        <v>p&lt;0.0001</v>
      </c>
      <c r="M18" s="37"/>
      <c r="N18" s="37"/>
      <c r="O18" s="35"/>
      <c r="P18" s="35"/>
      <c r="V18" s="37"/>
      <c r="W18" s="37"/>
      <c r="X18" s="35"/>
      <c r="Y18" s="35"/>
      <c r="Z18" s="38"/>
      <c r="AA18" s="38"/>
    </row>
    <row r="19" spans="1:27" ht="15.75" customHeight="1" x14ac:dyDescent="0.25">
      <c r="A19" s="46" t="str">
        <f>A4</f>
        <v>h_f0</v>
      </c>
      <c r="B19" s="46">
        <f>[15]Mode_PA_h_f0_b0!B5</f>
        <v>92.46</v>
      </c>
      <c r="C19" s="46">
        <f>[15]Mode_PA_h_f0_b0!C5</f>
        <v>88.4166650104154</v>
      </c>
      <c r="D19" s="46">
        <f>[15]Mode_PA_h_f0_b0!D5</f>
        <v>96.5043111301473</v>
      </c>
      <c r="E19" s="47">
        <f>[15]Mode_PA_h_f0_b0!E5</f>
        <v>1.81</v>
      </c>
      <c r="F19" s="47">
        <f>[15]Mode_PA_h_f0_b0!F5</f>
        <v>51.093000000000004</v>
      </c>
      <c r="G19" s="47">
        <f>[15]Mode_PA_h_f0_b0!G5</f>
        <v>9.7899999999999991</v>
      </c>
      <c r="H19" s="54">
        <f>[15]Mode_PA_h_f0_b0!H5</f>
        <v>3.3000000000000001E-13</v>
      </c>
      <c r="I19" s="55">
        <f>[15]Mode_PA_h_f0_b0!I5</f>
        <v>8.7000000000000003E-13</v>
      </c>
      <c r="J19" s="50" t="str">
        <f>[15]Mode_PA_h_f0_b0!J5</f>
        <v>p&lt;0.0001</v>
      </c>
      <c r="M19" s="37"/>
      <c r="N19" s="37"/>
      <c r="O19" s="35"/>
      <c r="P19" s="35"/>
      <c r="V19" s="37"/>
      <c r="W19" s="37"/>
      <c r="X19" s="35"/>
      <c r="Y19" s="35"/>
      <c r="Z19" s="38"/>
      <c r="AA19" s="38"/>
    </row>
    <row r="20" spans="1:27" ht="15.75" customHeight="1" x14ac:dyDescent="0.25">
      <c r="A20" s="51" t="str">
        <f>A5</f>
        <v>l_t</v>
      </c>
      <c r="B20" s="51">
        <f>[17]Mode_PA_l_t_b0!B5</f>
        <v>47.040999999999997</v>
      </c>
      <c r="C20" s="51">
        <f>[17]Mode_PA_l_t_b0!C5</f>
        <v>25.381162659949101</v>
      </c>
      <c r="D20" s="51">
        <f>[17]Mode_PA_l_t_b0!D5</f>
        <v>68.701789806570204</v>
      </c>
      <c r="E20" s="47">
        <f>[17]Mode_PA_l_t_b0!E5</f>
        <v>10.022</v>
      </c>
      <c r="F20" s="47">
        <f>[17]Mode_PA_l_t_b0!F5</f>
        <v>4.694</v>
      </c>
      <c r="G20" s="47">
        <f>[17]Mode_PA_l_t_b0!G5</f>
        <v>12.95</v>
      </c>
      <c r="H20" s="54">
        <f>[17]Mode_PA_l_t_b0!H5</f>
        <v>4.2000000000000002E-4</v>
      </c>
      <c r="I20" s="55">
        <f>[17]Mode_PA_l_t_b0!I5</f>
        <v>5.1999999999999995E-4</v>
      </c>
      <c r="J20" s="50" t="str">
        <f>[17]Mode_PA_l_t_b0!J5</f>
        <v>p&lt;0.001</v>
      </c>
      <c r="M20" s="37"/>
      <c r="N20" s="37"/>
      <c r="O20" s="35"/>
      <c r="P20" s="35"/>
      <c r="V20" s="37"/>
      <c r="W20" s="37"/>
      <c r="X20" s="35"/>
      <c r="Y20" s="35"/>
      <c r="Z20" s="38"/>
      <c r="AA20" s="38"/>
    </row>
    <row r="21" spans="1:27" ht="15.75" customHeight="1" x14ac:dyDescent="0.25">
      <c r="A21" s="51" t="str">
        <f>A6</f>
        <v>h_t</v>
      </c>
      <c r="B21" s="51">
        <f>[19]Mode_PA_h_t_b0!B5</f>
        <v>252.32</v>
      </c>
      <c r="C21" s="51">
        <f>[19]Mode_PA_h_t_b0!C5</f>
        <v>171.946315419135</v>
      </c>
      <c r="D21" s="51">
        <f>[19]Mode_PA_h_t_b0!D5</f>
        <v>332.69422810108699</v>
      </c>
      <c r="E21" s="47">
        <f>[19]Mode_PA_h_t_b0!E5</f>
        <v>30.795000000000002</v>
      </c>
      <c r="F21" s="47">
        <f>[19]Mode_PA_h_t_b0!F5</f>
        <v>8.1940000000000008</v>
      </c>
      <c r="G21" s="47">
        <f>[19]Mode_PA_h_t_b0!G5</f>
        <v>4.76</v>
      </c>
      <c r="H21" s="55">
        <f>[19]Mode_PA_h_t_b0!H5</f>
        <v>5.5999999999999995E-4</v>
      </c>
      <c r="I21" s="55">
        <f>[19]Mode_PA_h_t_b0!I5</f>
        <v>6.4000000000000005E-4</v>
      </c>
      <c r="J21" s="50" t="str">
        <f>[19]Mode_PA_h_t_b0!J5</f>
        <v>p&lt;0.001</v>
      </c>
      <c r="M21" s="37"/>
      <c r="N21" s="37"/>
      <c r="O21" s="35"/>
      <c r="P21" s="35"/>
      <c r="V21" s="37"/>
      <c r="W21" s="37"/>
      <c r="X21" s="35"/>
      <c r="Y21" s="35"/>
      <c r="Z21" s="38"/>
      <c r="AA21" s="38"/>
    </row>
    <row r="23" spans="1:27" ht="25.8" x14ac:dyDescent="0.25">
      <c r="A23" s="1" t="s">
        <v>10</v>
      </c>
      <c r="B23" s="3"/>
      <c r="C23" s="3"/>
      <c r="D23" s="3"/>
      <c r="E23" s="3"/>
      <c r="F23" s="3"/>
      <c r="G23" s="3"/>
      <c r="H23" s="38"/>
    </row>
    <row r="24" spans="1:27" ht="14.4" x14ac:dyDescent="0.25">
      <c r="A24" s="2" t="s">
        <v>0</v>
      </c>
      <c r="B24" s="4" t="s">
        <v>1</v>
      </c>
      <c r="C24" s="4" t="s">
        <v>7</v>
      </c>
      <c r="D24" s="4" t="s">
        <v>8</v>
      </c>
      <c r="E24" s="4" t="s">
        <v>5</v>
      </c>
      <c r="F24" s="4" t="s">
        <v>22</v>
      </c>
      <c r="G24" s="22"/>
      <c r="H24" s="38"/>
      <c r="V24" s="38"/>
      <c r="W24" s="38"/>
      <c r="X24" s="38"/>
      <c r="Y24" s="38"/>
      <c r="Z24" s="38"/>
      <c r="AA24" s="38"/>
    </row>
    <row r="25" spans="1:27" ht="14.4" x14ac:dyDescent="0.25">
      <c r="A25" s="8" t="s">
        <v>14</v>
      </c>
      <c r="B25" s="9">
        <f>[17]Mode_PA_l_t_b0!B2</f>
        <v>67.408000000000001</v>
      </c>
      <c r="C25" s="28">
        <f>[17]Mode_PA_l_t_b0!C2</f>
        <v>45.906075043170702</v>
      </c>
      <c r="D25" s="28">
        <f>[17]Mode_PA_l_t_b0!D2</f>
        <v>88.909427524989596</v>
      </c>
      <c r="E25" s="26">
        <f>[17]Mode_PA_l_t_b0!E2</f>
        <v>9.8879999999999999</v>
      </c>
      <c r="F25" s="7">
        <f>Table5[[#This Row],[Estimates]]-Table5[[#This Row],[2.5% CI]]</f>
        <v>21.501924956829299</v>
      </c>
      <c r="G25" s="27"/>
      <c r="H25" s="38"/>
    </row>
    <row r="26" spans="1:27" ht="14.4" x14ac:dyDescent="0.25">
      <c r="A26" s="8" t="s">
        <v>15</v>
      </c>
      <c r="B26" s="9">
        <f>[17]Mode_PA_l_t_b0!B3</f>
        <v>67.731999999999999</v>
      </c>
      <c r="C26" s="28">
        <f>[17]Mode_PA_l_t_b0!C3</f>
        <v>46.229535903865603</v>
      </c>
      <c r="D26" s="28">
        <f>[17]Mode_PA_l_t_b0!D3</f>
        <v>89.235346654396906</v>
      </c>
      <c r="E26" s="26">
        <f>[17]Mode_PA_l_t_b0!E3</f>
        <v>9.8889999999999993</v>
      </c>
      <c r="F26" s="28">
        <f>Table5[[#This Row],[Estimates]]-Table5[[#This Row],[2.5% CI]]</f>
        <v>21.502464096134396</v>
      </c>
      <c r="G26" s="27"/>
      <c r="H26" s="38"/>
    </row>
    <row r="27" spans="1:27" ht="14.4" x14ac:dyDescent="0.25">
      <c r="A27" s="8" t="s">
        <v>16</v>
      </c>
      <c r="B27" s="9">
        <f>[17]Mode_PA_l_t_b0!B4</f>
        <v>69.475999999999999</v>
      </c>
      <c r="C27" s="28">
        <f>[17]Mode_PA_l_t_b0!C4</f>
        <v>47.925440531509501</v>
      </c>
      <c r="D27" s="28">
        <f>[17]Mode_PA_l_t_b0!D4</f>
        <v>91.026647140951795</v>
      </c>
      <c r="E27" s="26">
        <f>[17]Mode_PA_l_t_b0!E4</f>
        <v>9.9280000000000008</v>
      </c>
      <c r="F27" s="28">
        <f>Table5[[#This Row],[Estimates]]-Table5[[#This Row],[2.5% CI]]</f>
        <v>21.550559468490498</v>
      </c>
      <c r="G27" s="27"/>
      <c r="H27" s="38"/>
    </row>
    <row r="28" spans="1:27" ht="14.4" x14ac:dyDescent="0.25">
      <c r="A28" s="8" t="s">
        <v>17</v>
      </c>
      <c r="B28" s="13">
        <f>[17]Mode_PA_l_t_b0!B5</f>
        <v>47.040999999999997</v>
      </c>
      <c r="C28" s="28">
        <f>[17]Mode_PA_l_t_b0!C5</f>
        <v>25.381162659949101</v>
      </c>
      <c r="D28" s="28">
        <f>[17]Mode_PA_l_t_b0!D5</f>
        <v>68.701789806570204</v>
      </c>
      <c r="E28" s="26">
        <f>[17]Mode_PA_l_t_b0!E5</f>
        <v>10.022</v>
      </c>
      <c r="F28" s="28">
        <f>Table5[[#This Row],[Estimates]]-Table5[[#This Row],[2.5% CI]]</f>
        <v>21.659837340050895</v>
      </c>
      <c r="G28" s="27"/>
      <c r="H28" s="38"/>
    </row>
    <row r="29" spans="1:27" ht="14.4" x14ac:dyDescent="0.25">
      <c r="A29" s="8" t="s">
        <v>23</v>
      </c>
      <c r="B29" s="9">
        <f>[17]Mode_PA_l_t_b0!B6</f>
        <v>67.408000000000001</v>
      </c>
      <c r="C29" s="28">
        <f>[17]Mode_PA_l_t_b0!C6</f>
        <v>45.906075043170702</v>
      </c>
      <c r="D29" s="28">
        <f>[17]Mode_PA_l_t_b0!D6</f>
        <v>88.909427524989596</v>
      </c>
      <c r="E29" s="26">
        <f>[17]Mode_PA_l_t_b0!E6</f>
        <v>9.8879999999999999</v>
      </c>
      <c r="F29" s="28">
        <f>Table5[[#This Row],[Estimates]]-Table5[[#This Row],[2.5% CI]]</f>
        <v>21.501924956829299</v>
      </c>
      <c r="G29" s="27"/>
      <c r="H29" s="38"/>
    </row>
    <row r="30" spans="1:27" ht="14.4" x14ac:dyDescent="0.25">
      <c r="A30" s="8" t="s">
        <v>24</v>
      </c>
      <c r="B30" s="9">
        <f>[17]Mode_PA_l_t_b0!B7</f>
        <v>81.248999999999995</v>
      </c>
      <c r="C30" s="28">
        <f>[17]Mode_PA_l_t_b0!C7</f>
        <v>51.745674146421401</v>
      </c>
      <c r="D30" s="28">
        <f>[17]Mode_PA_l_t_b0!D7</f>
        <v>110.7528902249</v>
      </c>
      <c r="E30" s="26">
        <f>[17]Mode_PA_l_t_b0!E7</f>
        <v>14.737</v>
      </c>
      <c r="F30" s="28">
        <f>Table5[[#This Row],[Estimates]]-Table5[[#This Row],[2.5% CI]]</f>
        <v>29.503325853578595</v>
      </c>
      <c r="G30" s="27"/>
      <c r="H30" s="38"/>
    </row>
    <row r="31" spans="1:27" ht="14.4" x14ac:dyDescent="0.25">
      <c r="A31" s="8" t="s">
        <v>25</v>
      </c>
      <c r="B31" s="9">
        <f>[17]Mode_PA_l_t_b0!B8</f>
        <v>63.344000000000001</v>
      </c>
      <c r="C31" s="28">
        <f>[17]Mode_PA_l_t_b0!C8</f>
        <v>40.548764552006098</v>
      </c>
      <c r="D31" s="28">
        <f>[17]Mode_PA_l_t_b0!D8</f>
        <v>86.140197086469001</v>
      </c>
      <c r="E31" s="26">
        <f>[17]Mode_PA_l_t_b0!E8</f>
        <v>10.831</v>
      </c>
      <c r="F31" s="28">
        <f>Table5[[#This Row],[Estimates]]-Table5[[#This Row],[2.5% CI]]</f>
        <v>22.795235447993903</v>
      </c>
      <c r="G31" s="27"/>
      <c r="H31" s="38"/>
    </row>
    <row r="32" spans="1:27" ht="14.4" x14ac:dyDescent="0.25">
      <c r="A32" s="15" t="s">
        <v>26</v>
      </c>
      <c r="B32" s="13">
        <f>[17]Mode_PA_l_t_b0!B9</f>
        <v>65.388999999999996</v>
      </c>
      <c r="C32" s="30">
        <f>[17]Mode_PA_l_t_b0!C9</f>
        <v>43.096406186970398</v>
      </c>
      <c r="D32" s="30">
        <f>[17]Mode_PA_l_t_b0!D9</f>
        <v>87.6806831178435</v>
      </c>
      <c r="E32" s="29">
        <f>[17]Mode_PA_l_t_b0!E9</f>
        <v>10.481</v>
      </c>
      <c r="F32" s="30">
        <f>Table5[[#This Row],[Estimates]]-Table5[[#This Row],[2.5% CI]]</f>
        <v>22.292593813029598</v>
      </c>
      <c r="G32" s="27"/>
      <c r="H32" s="38"/>
    </row>
    <row r="33" spans="1:8" ht="14.4" x14ac:dyDescent="0.25">
      <c r="A33" s="17"/>
      <c r="B33" s="18"/>
      <c r="C33" s="31"/>
      <c r="D33" s="31"/>
      <c r="E33" s="31"/>
      <c r="F33" s="32"/>
      <c r="G33" s="32"/>
      <c r="H33" s="38"/>
    </row>
    <row r="34" spans="1:8" ht="25.8" x14ac:dyDescent="0.25">
      <c r="A34" s="1" t="s">
        <v>11</v>
      </c>
      <c r="B34" s="1"/>
      <c r="C34" s="21"/>
      <c r="D34" s="21"/>
      <c r="E34" s="21"/>
      <c r="F34" s="3"/>
      <c r="G34" s="3"/>
      <c r="H34" s="38"/>
    </row>
    <row r="35" spans="1:8" ht="14.4" x14ac:dyDescent="0.25">
      <c r="A35" s="2" t="s">
        <v>0</v>
      </c>
      <c r="B35" s="4" t="s">
        <v>1</v>
      </c>
      <c r="C35" s="24" t="s">
        <v>7</v>
      </c>
      <c r="D35" s="24" t="s">
        <v>8</v>
      </c>
      <c r="E35" s="24" t="s">
        <v>5</v>
      </c>
      <c r="F35" s="4" t="s">
        <v>22</v>
      </c>
      <c r="G35" s="22"/>
      <c r="H35" s="38"/>
    </row>
    <row r="36" spans="1:8" ht="14.4" x14ac:dyDescent="0.25">
      <c r="A36" s="8" t="str">
        <f t="shared" ref="A36:A43" si="3">A25</f>
        <v>MDC</v>
      </c>
      <c r="B36" s="9">
        <f>[19]Mode_PA_h_t_b0!B2</f>
        <v>268.214</v>
      </c>
      <c r="C36" s="9">
        <f>[19]Mode_PA_h_t_b0!C2</f>
        <v>187.77360112485999</v>
      </c>
      <c r="D36" s="9">
        <f>[19]Mode_PA_h_t_b0!D2</f>
        <v>348.655341966148</v>
      </c>
      <c r="E36" s="11">
        <f>[19]Mode_PA_h_t_b0!E2</f>
        <v>30.707999999999998</v>
      </c>
      <c r="F36" s="33">
        <f>Table6[[#This Row],[Estimates]]-Table6[[#This Row],[2.5% CI]]</f>
        <v>80.440398875140005</v>
      </c>
      <c r="G36" s="27"/>
      <c r="H36" s="38"/>
    </row>
    <row r="37" spans="1:8" ht="14.4" x14ac:dyDescent="0.25">
      <c r="A37" s="8" t="str">
        <f t="shared" si="3"/>
        <v>MWH</v>
      </c>
      <c r="B37" s="9">
        <f>[19]Mode_PA_h_t_b0!B3</f>
        <v>267.76299999999998</v>
      </c>
      <c r="C37" s="9">
        <f>[19]Mode_PA_h_t_b0!C3</f>
        <v>187.32325202228199</v>
      </c>
      <c r="D37" s="9">
        <f>[19]Mode_PA_h_t_b0!D3</f>
        <v>348.20302685774101</v>
      </c>
      <c r="E37" s="11">
        <f>[19]Mode_PA_h_t_b0!E3</f>
        <v>30.709</v>
      </c>
      <c r="F37" s="9">
        <f>Table6[[#This Row],[Estimates]]-Table6[[#This Row],[2.5% CI]]</f>
        <v>80.439747977717985</v>
      </c>
      <c r="G37" s="27"/>
      <c r="H37" s="38"/>
    </row>
    <row r="38" spans="1:8" ht="14.4" x14ac:dyDescent="0.25">
      <c r="A38" s="8" t="str">
        <f t="shared" si="3"/>
        <v>MYN</v>
      </c>
      <c r="B38" s="9">
        <f>[19]Mode_PA_h_t_b0!B4</f>
        <v>268.13499999999999</v>
      </c>
      <c r="C38" s="9">
        <f>[19]Mode_PA_h_t_b0!C4</f>
        <v>187.71463745543801</v>
      </c>
      <c r="D38" s="9">
        <f>[19]Mode_PA_h_t_b0!D4</f>
        <v>348.55535531186501</v>
      </c>
      <c r="E38" s="11">
        <f>[19]Mode_PA_h_t_b0!E4</f>
        <v>30.734999999999999</v>
      </c>
      <c r="F38" s="9">
        <f>Table6[[#This Row],[Estimates]]-Table6[[#This Row],[2.5% CI]]</f>
        <v>80.420362544561982</v>
      </c>
      <c r="G38" s="27"/>
      <c r="H38" s="38"/>
    </row>
    <row r="39" spans="1:8" ht="14.4" x14ac:dyDescent="0.25">
      <c r="A39" s="8" t="str">
        <f t="shared" si="3"/>
        <v>MDQ</v>
      </c>
      <c r="B39" s="13">
        <f>[19]Mode_PA_h_t_b0!B5</f>
        <v>252.32</v>
      </c>
      <c r="C39" s="9">
        <f>[19]Mode_PA_h_t_b0!C5</f>
        <v>171.946315419135</v>
      </c>
      <c r="D39" s="9">
        <f>[19]Mode_PA_h_t_b0!D5</f>
        <v>332.69422810108699</v>
      </c>
      <c r="E39" s="11">
        <f>[19]Mode_PA_h_t_b0!E5</f>
        <v>30.795000000000002</v>
      </c>
      <c r="F39" s="9">
        <f>Table6[[#This Row],[Estimates]]-Table6[[#This Row],[2.5% CI]]</f>
        <v>80.373684580864989</v>
      </c>
      <c r="G39" s="27"/>
      <c r="H39" s="38"/>
    </row>
    <row r="40" spans="1:8" ht="14.4" x14ac:dyDescent="0.25">
      <c r="A40" s="8" t="str">
        <f t="shared" si="3"/>
        <v>L*H</v>
      </c>
      <c r="B40" s="9">
        <f>[19]Mode_PA_h_t_b0!B6</f>
        <v>268.214</v>
      </c>
      <c r="C40" s="9">
        <f>[19]Mode_PA_h_t_b0!C6</f>
        <v>187.77360112485999</v>
      </c>
      <c r="D40" s="9">
        <f>[19]Mode_PA_h_t_b0!D6</f>
        <v>348.655341966148</v>
      </c>
      <c r="E40" s="11">
        <f>[19]Mode_PA_h_t_b0!E6</f>
        <v>30.707999999999998</v>
      </c>
      <c r="F40" s="9">
        <f>Table6[[#This Row],[Estimates]]-Table6[[#This Row],[2.5% CI]]</f>
        <v>80.440398875140005</v>
      </c>
      <c r="G40" s="27"/>
      <c r="H40" s="38"/>
    </row>
    <row r="41" spans="1:8" ht="14.4" x14ac:dyDescent="0.25">
      <c r="A41" s="8" t="str">
        <f t="shared" si="3"/>
        <v>^[L*]H</v>
      </c>
      <c r="B41" s="9">
        <f>[19]Mode_PA_h_t_b0!B7</f>
        <v>218.333</v>
      </c>
      <c r="C41" s="9">
        <f>[19]Mode_PA_h_t_b0!C7</f>
        <v>137.65678545155001</v>
      </c>
      <c r="D41" s="9">
        <f>[19]Mode_PA_h_t_b0!D7</f>
        <v>299.00823125467798</v>
      </c>
      <c r="E41" s="11">
        <f>[19]Mode_PA_h_t_b0!E7</f>
        <v>34.774000000000001</v>
      </c>
      <c r="F41" s="9">
        <f>Table6[[#This Row],[Estimates]]-Table6[[#This Row],[2.5% CI]]</f>
        <v>80.676214548449991</v>
      </c>
      <c r="G41" s="27"/>
      <c r="H41" s="38"/>
    </row>
    <row r="42" spans="1:8" ht="14.4" x14ac:dyDescent="0.25">
      <c r="A42" s="8" t="str">
        <f t="shared" si="3"/>
        <v>L*^[H]</v>
      </c>
      <c r="B42" s="9">
        <f>[19]Mode_PA_h_t_b0!B8</f>
        <v>267.35399999999998</v>
      </c>
      <c r="C42" s="9">
        <f>[19]Mode_PA_h_t_b0!C8</f>
        <v>187.31944529171901</v>
      </c>
      <c r="D42" s="9">
        <f>[19]Mode_PA_h_t_b0!D8</f>
        <v>347.38760276514603</v>
      </c>
      <c r="E42" s="11">
        <f>[19]Mode_PA_h_t_b0!E8</f>
        <v>31.405000000000001</v>
      </c>
      <c r="F42" s="9">
        <f>Table6[[#This Row],[Estimates]]-Table6[[#This Row],[2.5% CI]]</f>
        <v>80.034554708280979</v>
      </c>
      <c r="G42" s="27"/>
      <c r="H42" s="38"/>
    </row>
    <row r="43" spans="1:8" ht="14.4" x14ac:dyDescent="0.25">
      <c r="A43" s="8" t="str">
        <f t="shared" si="3"/>
        <v>^[L*H]</v>
      </c>
      <c r="B43" s="13">
        <f>[19]Mode_PA_h_t_b0!B9</f>
        <v>267.60899999999998</v>
      </c>
      <c r="C43" s="13">
        <f>[19]Mode_PA_h_t_b0!C9</f>
        <v>187.45073539710501</v>
      </c>
      <c r="D43" s="13">
        <f>[19]Mode_PA_h_t_b0!D9</f>
        <v>347.76631975450999</v>
      </c>
      <c r="E43" s="16">
        <f>[19]Mode_PA_h_t_b0!E9</f>
        <v>31.145</v>
      </c>
      <c r="F43" s="13">
        <f>Table6[[#This Row],[Estimates]]-Table6[[#This Row],[2.5% CI]]</f>
        <v>80.158264602894974</v>
      </c>
      <c r="G43" s="27"/>
      <c r="H43" s="38"/>
    </row>
    <row r="45" spans="1:8" ht="29.4" x14ac:dyDescent="0.25">
      <c r="A45" s="1" t="s">
        <v>12</v>
      </c>
      <c r="B45" s="3"/>
      <c r="C45" s="3"/>
      <c r="D45" s="3"/>
      <c r="E45" s="3"/>
      <c r="F45" s="3"/>
      <c r="G45" s="3"/>
    </row>
    <row r="46" spans="1:8" ht="14.4" x14ac:dyDescent="0.25">
      <c r="A46" s="6" t="s">
        <v>0</v>
      </c>
      <c r="B46" s="4" t="s">
        <v>1</v>
      </c>
      <c r="C46" s="4" t="s">
        <v>7</v>
      </c>
      <c r="D46" s="4" t="s">
        <v>8</v>
      </c>
      <c r="E46" s="4" t="s">
        <v>5</v>
      </c>
      <c r="F46" s="4" t="s">
        <v>22</v>
      </c>
      <c r="G46" s="22"/>
    </row>
    <row r="47" spans="1:8" ht="14.4" x14ac:dyDescent="0.25">
      <c r="A47" s="8" t="str">
        <f t="shared" ref="A47:A54" si="4">A36</f>
        <v>MDC</v>
      </c>
      <c r="B47" s="10">
        <f>[13]Mode_PA_l_f0_b0!B2</f>
        <v>83.99</v>
      </c>
      <c r="C47" s="10">
        <f>[13]Mode_PA_l_f0_b0!C2</f>
        <v>80.453351074980304</v>
      </c>
      <c r="D47" s="10">
        <f>[13]Mode_PA_l_f0_b0!D2</f>
        <v>87.527230630068203</v>
      </c>
      <c r="E47" s="11">
        <f>[13]Mode_PA_l_f0_b0!E2</f>
        <v>1.623</v>
      </c>
      <c r="F47" s="12">
        <f>Table1[[#This Row],[Estimates]]-Table1[[#This Row],[2.5% CI]]</f>
        <v>3.5366489250196906</v>
      </c>
      <c r="G47" s="27"/>
    </row>
    <row r="48" spans="1:8" ht="14.4" x14ac:dyDescent="0.25">
      <c r="A48" s="8" t="str">
        <f t="shared" si="4"/>
        <v>MWH</v>
      </c>
      <c r="B48" s="10">
        <f>[13]Mode_PA_l_f0_b0!B3</f>
        <v>84.075999999999993</v>
      </c>
      <c r="C48" s="10">
        <f>[13]Mode_PA_l_f0_b0!C3</f>
        <v>80.539039447165607</v>
      </c>
      <c r="D48" s="10">
        <f>[13]Mode_PA_l_f0_b0!D3</f>
        <v>87.613137543283798</v>
      </c>
      <c r="E48" s="11">
        <f>[13]Mode_PA_l_f0_b0!E3</f>
        <v>1.623</v>
      </c>
      <c r="F48" s="11">
        <f>Table1[[#This Row],[Estimates]]-Table1[[#This Row],[2.5% CI]]</f>
        <v>3.5369605528343868</v>
      </c>
      <c r="G48" s="27"/>
    </row>
    <row r="49" spans="1:7" ht="14.4" x14ac:dyDescent="0.25">
      <c r="A49" s="8" t="str">
        <f t="shared" si="4"/>
        <v>MYN</v>
      </c>
      <c r="B49" s="10">
        <f>[13]Mode_PA_l_f0_b0!B4</f>
        <v>85.177999999999997</v>
      </c>
      <c r="C49" s="10">
        <f>[13]Mode_PA_l_f0_b0!C4</f>
        <v>81.639854239581595</v>
      </c>
      <c r="D49" s="10">
        <f>[13]Mode_PA_l_f0_b0!D4</f>
        <v>88.716349917043104</v>
      </c>
      <c r="E49" s="11">
        <f>[13]Mode_PA_l_f0_b0!E4</f>
        <v>1.6240000000000001</v>
      </c>
      <c r="F49" s="11">
        <f>Table1[[#This Row],[Estimates]]-Table1[[#This Row],[2.5% CI]]</f>
        <v>3.5381457604184021</v>
      </c>
      <c r="G49" s="27"/>
    </row>
    <row r="50" spans="1:7" ht="14.4" x14ac:dyDescent="0.25">
      <c r="A50" s="8" t="str">
        <f t="shared" si="4"/>
        <v>MDQ</v>
      </c>
      <c r="B50" s="14">
        <f>[13]Mode_PA_l_f0_b0!B5</f>
        <v>85.031999999999996</v>
      </c>
      <c r="C50" s="10">
        <f>[13]Mode_PA_l_f0_b0!C5</f>
        <v>81.489369407447299</v>
      </c>
      <c r="D50" s="10">
        <f>[13]Mode_PA_l_f0_b0!D5</f>
        <v>88.574801692886098</v>
      </c>
      <c r="E50" s="11">
        <f>[13]Mode_PA_l_f0_b0!E5</f>
        <v>1.6279999999999999</v>
      </c>
      <c r="F50" s="11">
        <f>Table1[[#This Row],[Estimates]]-Table1[[#This Row],[2.5% CI]]</f>
        <v>3.5426305925526975</v>
      </c>
      <c r="G50" s="27"/>
    </row>
    <row r="51" spans="1:7" ht="14.4" x14ac:dyDescent="0.25">
      <c r="A51" s="8" t="str">
        <f t="shared" si="4"/>
        <v>L*H</v>
      </c>
      <c r="B51" s="10">
        <f>[13]Mode_PA_l_f0_b0!B6</f>
        <v>83.99</v>
      </c>
      <c r="C51" s="10">
        <f>[13]Mode_PA_l_f0_b0!C6</f>
        <v>80.453351074980304</v>
      </c>
      <c r="D51" s="10">
        <f>[13]Mode_PA_l_f0_b0!D6</f>
        <v>87.527230630068203</v>
      </c>
      <c r="E51" s="11">
        <f>[13]Mode_PA_l_f0_b0!E6</f>
        <v>1.623</v>
      </c>
      <c r="F51" s="11">
        <f>Table1[[#This Row],[Estimates]]-Table1[[#This Row],[2.5% CI]]</f>
        <v>3.5366489250196906</v>
      </c>
      <c r="G51" s="27"/>
    </row>
    <row r="52" spans="1:7" ht="14.4" x14ac:dyDescent="0.25">
      <c r="A52" s="8" t="str">
        <f t="shared" si="4"/>
        <v>^[L*]H</v>
      </c>
      <c r="B52" s="10">
        <f>[13]Mode_PA_l_f0_b0!B7</f>
        <v>86.87</v>
      </c>
      <c r="C52" s="10">
        <f>[13]Mode_PA_l_f0_b0!C7</f>
        <v>83.113022861423701</v>
      </c>
      <c r="D52" s="10">
        <f>[13]Mode_PA_l_f0_b0!D7</f>
        <v>90.627605751172297</v>
      </c>
      <c r="E52" s="11">
        <f>[13]Mode_PA_l_f0_b0!E7</f>
        <v>1.7849999999999999</v>
      </c>
      <c r="F52" s="11">
        <f>Table1[[#This Row],[Estimates]]-Table1[[#This Row],[2.5% CI]]</f>
        <v>3.7569771385763033</v>
      </c>
      <c r="G52" s="27"/>
    </row>
    <row r="53" spans="1:7" ht="14.4" x14ac:dyDescent="0.25">
      <c r="A53" s="8" t="str">
        <f t="shared" si="4"/>
        <v>L*^[H]</v>
      </c>
      <c r="B53" s="10">
        <f>[13]Mode_PA_l_f0_b0!B8</f>
        <v>84.706999999999994</v>
      </c>
      <c r="C53" s="10">
        <f>[13]Mode_PA_l_f0_b0!C8</f>
        <v>81.133638575482294</v>
      </c>
      <c r="D53" s="10">
        <f>[13]Mode_PA_l_f0_b0!D8</f>
        <v>88.279591427499099</v>
      </c>
      <c r="E53" s="11">
        <f>[13]Mode_PA_l_f0_b0!E8</f>
        <v>1.6519999999999999</v>
      </c>
      <c r="F53" s="11">
        <f>Table1[[#This Row],[Estimates]]-Table1[[#This Row],[2.5% CI]]</f>
        <v>3.5733614245176994</v>
      </c>
      <c r="G53" s="27"/>
    </row>
    <row r="54" spans="1:7" ht="14.4" x14ac:dyDescent="0.25">
      <c r="A54" s="8" t="str">
        <f t="shared" si="4"/>
        <v>^[L*H]</v>
      </c>
      <c r="B54" s="14">
        <f>[13]Mode_PA_l_f0_b0!B9</f>
        <v>86.724000000000004</v>
      </c>
      <c r="C54" s="14">
        <f>[13]Mode_PA_l_f0_b0!C9</f>
        <v>83.164863235291506</v>
      </c>
      <c r="D54" s="14">
        <f>[13]Mode_PA_l_f0_b0!D9</f>
        <v>90.282187472808502</v>
      </c>
      <c r="E54" s="16">
        <f>[13]Mode_PA_l_f0_b0!E9</f>
        <v>1.641</v>
      </c>
      <c r="F54" s="16">
        <f>Table1[[#This Row],[Estimates]]-Table1[[#This Row],[2.5% CI]]</f>
        <v>3.5591367647084979</v>
      </c>
      <c r="G54" s="27"/>
    </row>
    <row r="55" spans="1:7" ht="14.4" x14ac:dyDescent="0.25">
      <c r="A55" s="32"/>
      <c r="B55" s="27"/>
      <c r="C55" s="17"/>
      <c r="D55" s="19"/>
      <c r="E55" s="20"/>
      <c r="F55" s="20"/>
      <c r="G55" s="20"/>
    </row>
    <row r="56" spans="1:7" ht="29.4" x14ac:dyDescent="0.25">
      <c r="A56" s="1" t="s">
        <v>13</v>
      </c>
      <c r="B56" s="1"/>
      <c r="C56" s="3"/>
      <c r="D56" s="23"/>
      <c r="E56" s="21"/>
      <c r="F56" s="21"/>
      <c r="G56" s="21"/>
    </row>
    <row r="57" spans="1:7" ht="14.4" x14ac:dyDescent="0.25">
      <c r="A57" s="2" t="s">
        <v>0</v>
      </c>
      <c r="B57" s="25" t="s">
        <v>1</v>
      </c>
      <c r="C57" s="24" t="s">
        <v>7</v>
      </c>
      <c r="D57" s="24" t="s">
        <v>8</v>
      </c>
      <c r="E57" s="24" t="s">
        <v>5</v>
      </c>
      <c r="F57" s="4" t="s">
        <v>22</v>
      </c>
      <c r="G57" s="22"/>
    </row>
    <row r="58" spans="1:7" ht="14.4" x14ac:dyDescent="0.25">
      <c r="A58" s="8" t="str">
        <f t="shared" ref="A58:A65" si="5">A25</f>
        <v>MDC</v>
      </c>
      <c r="B58" s="10">
        <f>[15]Mode_PA_h_f0_b0!B2</f>
        <v>90.16</v>
      </c>
      <c r="C58" s="10">
        <f>[15]Mode_PA_h_f0_b0!C2</f>
        <v>86.123044297759193</v>
      </c>
      <c r="D58" s="10">
        <f>[15]Mode_PA_h_f0_b0!D2</f>
        <v>94.197953153150294</v>
      </c>
      <c r="E58" s="11">
        <f>[15]Mode_PA_h_f0_b0!E2</f>
        <v>1.8029999999999999</v>
      </c>
      <c r="F58" s="12">
        <f>Table3[[#This Row],[Estimates]]-Table3[[#This Row],[2.5% CI]]</f>
        <v>4.0369557022408031</v>
      </c>
      <c r="G58" s="27"/>
    </row>
    <row r="59" spans="1:7" ht="14.4" x14ac:dyDescent="0.25">
      <c r="A59" s="8" t="str">
        <f t="shared" si="5"/>
        <v>MWH</v>
      </c>
      <c r="B59" s="10">
        <f>[15]Mode_PA_h_f0_b0!B3</f>
        <v>90.578000000000003</v>
      </c>
      <c r="C59" s="10">
        <f>[15]Mode_PA_h_f0_b0!C3</f>
        <v>86.540423226981304</v>
      </c>
      <c r="D59" s="10">
        <f>[15]Mode_PA_h_f0_b0!D3</f>
        <v>94.615525956752506</v>
      </c>
      <c r="E59" s="11">
        <f>[15]Mode_PA_h_f0_b0!E3</f>
        <v>1.8029999999999999</v>
      </c>
      <c r="F59" s="11">
        <f>Table3[[#This Row],[Estimates]]-Table3[[#This Row],[2.5% CI]]</f>
        <v>4.0375767730186993</v>
      </c>
      <c r="G59" s="27"/>
    </row>
    <row r="60" spans="1:7" ht="14.4" x14ac:dyDescent="0.25">
      <c r="A60" s="8" t="str">
        <f t="shared" si="5"/>
        <v>MYN</v>
      </c>
      <c r="B60" s="10">
        <f>[15]Mode_PA_h_f0_b0!B4</f>
        <v>91.29</v>
      </c>
      <c r="C60" s="10">
        <f>[15]Mode_PA_h_f0_b0!C4</f>
        <v>87.250257427373995</v>
      </c>
      <c r="D60" s="10">
        <f>[15]Mode_PA_h_f0_b0!D4</f>
        <v>95.329182325812198</v>
      </c>
      <c r="E60" s="11">
        <f>[15]Mode_PA_h_f0_b0!E4</f>
        <v>1.8049999999999999</v>
      </c>
      <c r="F60" s="11">
        <f>Table3[[#This Row],[Estimates]]-Table3[[#This Row],[2.5% CI]]</f>
        <v>4.039742572626011</v>
      </c>
      <c r="G60" s="27"/>
    </row>
    <row r="61" spans="1:7" ht="14.4" x14ac:dyDescent="0.25">
      <c r="A61" s="8" t="str">
        <f t="shared" si="5"/>
        <v>MDQ</v>
      </c>
      <c r="B61" s="14">
        <f>[15]Mode_PA_h_f0_b0!B5</f>
        <v>92.46</v>
      </c>
      <c r="C61" s="10">
        <f>[15]Mode_PA_h_f0_b0!C5</f>
        <v>88.4166650104154</v>
      </c>
      <c r="D61" s="10">
        <f>[15]Mode_PA_h_f0_b0!D5</f>
        <v>96.5043111301473</v>
      </c>
      <c r="E61" s="11">
        <f>[15]Mode_PA_h_f0_b0!E5</f>
        <v>1.81</v>
      </c>
      <c r="F61" s="11">
        <f>Table3[[#This Row],[Estimates]]-Table3[[#This Row],[2.5% CI]]</f>
        <v>4.0433349895845936</v>
      </c>
      <c r="G61" s="27"/>
    </row>
    <row r="62" spans="1:7" ht="14.4" x14ac:dyDescent="0.25">
      <c r="A62" s="8" t="str">
        <f t="shared" si="5"/>
        <v>L*H</v>
      </c>
      <c r="B62" s="10">
        <f>[15]Mode_PA_h_f0_b0!B6</f>
        <v>90.16</v>
      </c>
      <c r="C62" s="10">
        <f>[15]Mode_PA_h_f0_b0!C6</f>
        <v>86.123044297759193</v>
      </c>
      <c r="D62" s="10">
        <f>[15]Mode_PA_h_f0_b0!D6</f>
        <v>94.197953153150294</v>
      </c>
      <c r="E62" s="11">
        <f>[15]Mode_PA_h_f0_b0!E6</f>
        <v>1.8029999999999999</v>
      </c>
      <c r="F62" s="11">
        <f>Table3[[#This Row],[Estimates]]-Table3[[#This Row],[2.5% CI]]</f>
        <v>4.0369557022408031</v>
      </c>
      <c r="G62" s="27"/>
    </row>
    <row r="63" spans="1:7" ht="14.4" x14ac:dyDescent="0.25">
      <c r="A63" s="8" t="str">
        <f t="shared" si="5"/>
        <v>^[L*]H</v>
      </c>
      <c r="B63" s="10">
        <f>[15]Mode_PA_h_f0_b0!B7</f>
        <v>89.887</v>
      </c>
      <c r="C63" s="10">
        <f>[15]Mode_PA_h_f0_b0!C7</f>
        <v>85.459720267774003</v>
      </c>
      <c r="D63" s="10">
        <f>[15]Mode_PA_h_f0_b0!D7</f>
        <v>94.315126074610902</v>
      </c>
      <c r="E63" s="11">
        <f>[15]Mode_PA_h_f0_b0!E7</f>
        <v>2.1070000000000002</v>
      </c>
      <c r="F63" s="11">
        <f>Table3[[#This Row],[Estimates]]-Table3[[#This Row],[2.5% CI]]</f>
        <v>4.4272797322259976</v>
      </c>
      <c r="G63" s="27"/>
    </row>
    <row r="64" spans="1:7" ht="14.4" x14ac:dyDescent="0.25">
      <c r="A64" s="8" t="str">
        <f t="shared" si="5"/>
        <v>L*^[H]</v>
      </c>
      <c r="B64" s="10">
        <f>[15]Mode_PA_h_f0_b0!B8</f>
        <v>93.736999999999995</v>
      </c>
      <c r="C64" s="10">
        <f>[15]Mode_PA_h_f0_b0!C8</f>
        <v>89.644798852053697</v>
      </c>
      <c r="D64" s="10">
        <f>[15]Mode_PA_h_f0_b0!D8</f>
        <v>97.829742545249303</v>
      </c>
      <c r="E64" s="11">
        <f>[15]Mode_PA_h_f0_b0!E8</f>
        <v>1.8560000000000001</v>
      </c>
      <c r="F64" s="11">
        <f>Table3[[#This Row],[Estimates]]-Table3[[#This Row],[2.5% CI]]</f>
        <v>4.0922011479462981</v>
      </c>
      <c r="G64" s="27"/>
    </row>
    <row r="65" spans="1:27" ht="14.4" x14ac:dyDescent="0.25">
      <c r="A65" s="8" t="str">
        <f t="shared" si="5"/>
        <v>^[L*H]</v>
      </c>
      <c r="B65" s="14">
        <f>[15]Mode_PA_h_f0_b0!B9</f>
        <v>93.728999999999999</v>
      </c>
      <c r="C65" s="14">
        <f>[15]Mode_PA_h_f0_b0!C9</f>
        <v>89.656987762284302</v>
      </c>
      <c r="D65" s="14">
        <f>[15]Mode_PA_h_f0_b0!D9</f>
        <v>97.800438525461999</v>
      </c>
      <c r="E65" s="16">
        <f>[15]Mode_PA_h_f0_b0!E9</f>
        <v>1.8360000000000001</v>
      </c>
      <c r="F65" s="16">
        <f>Table3[[#This Row],[Estimates]]-Table3[[#This Row],[2.5% CI]]</f>
        <v>4.0720122377156969</v>
      </c>
      <c r="G65" s="27"/>
    </row>
    <row r="66" spans="1:27" x14ac:dyDescent="0.25">
      <c r="A66" s="37"/>
      <c r="I66" s="37"/>
      <c r="J66" s="37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 spans="1:27" x14ac:dyDescent="0.25">
      <c r="A67" s="37"/>
      <c r="I67" s="37"/>
      <c r="J67" s="37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 spans="1:27" x14ac:dyDescent="0.25">
      <c r="A68" s="37"/>
      <c r="I68" s="37"/>
      <c r="J68" s="37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 spans="1:27" x14ac:dyDescent="0.25">
      <c r="A69" s="37"/>
      <c r="I69" s="37"/>
      <c r="J69" s="37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 spans="1:27" x14ac:dyDescent="0.25">
      <c r="A70" s="37"/>
      <c r="I70" s="37"/>
      <c r="J70" s="37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 spans="1:27" x14ac:dyDescent="0.25">
      <c r="A71" s="37"/>
      <c r="I71" s="37"/>
      <c r="J71" s="37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 spans="1:27" x14ac:dyDescent="0.25">
      <c r="A72" s="37"/>
      <c r="I72" s="37"/>
      <c r="J72" s="37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 spans="1:27" x14ac:dyDescent="0.25">
      <c r="A73" s="37"/>
      <c r="I73" s="37"/>
      <c r="J73" s="37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 spans="1:27" x14ac:dyDescent="0.25">
      <c r="A74" s="37"/>
      <c r="I74" s="37"/>
      <c r="J74" s="37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 spans="1:27" x14ac:dyDescent="0.25">
      <c r="A75" s="37"/>
      <c r="I75" s="37"/>
      <c r="J75" s="37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 spans="1:27" x14ac:dyDescent="0.25">
      <c r="A76" s="37"/>
      <c r="I76" s="37"/>
      <c r="J76" s="37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 spans="1:27" x14ac:dyDescent="0.25">
      <c r="A77" s="37"/>
      <c r="I77" s="37"/>
      <c r="J77" s="37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 spans="1:27" x14ac:dyDescent="0.25">
      <c r="A78" s="37"/>
      <c r="I78" s="37"/>
      <c r="J78" s="37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 spans="1:27" x14ac:dyDescent="0.25">
      <c r="A79" s="37"/>
      <c r="I79" s="37"/>
      <c r="J79" s="37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 spans="1:27" x14ac:dyDescent="0.25">
      <c r="A80" s="37"/>
      <c r="I80" s="37"/>
      <c r="J80" s="37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 spans="1:27" x14ac:dyDescent="0.25">
      <c r="A81" s="37"/>
      <c r="I81" s="37"/>
      <c r="J81" s="37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 spans="1:27" x14ac:dyDescent="0.25">
      <c r="A82" s="37"/>
      <c r="I82" s="37"/>
      <c r="J82" s="37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 spans="1:27" x14ac:dyDescent="0.25">
      <c r="A83" s="37"/>
      <c r="I83" s="37"/>
      <c r="J83" s="37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 spans="1:27" x14ac:dyDescent="0.25">
      <c r="A84" s="37"/>
      <c r="I84" s="37"/>
      <c r="J84" s="37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 spans="1:27" x14ac:dyDescent="0.25">
      <c r="A85" s="37"/>
      <c r="I85" s="37"/>
      <c r="J85" s="37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 spans="1:27" x14ac:dyDescent="0.25">
      <c r="A86" s="37"/>
      <c r="I86" s="37"/>
      <c r="J86" s="37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 spans="1:27" x14ac:dyDescent="0.25">
      <c r="A87" s="37"/>
      <c r="I87" s="37"/>
      <c r="J87" s="37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 spans="1:27" x14ac:dyDescent="0.25">
      <c r="A88" s="37"/>
      <c r="I88" s="37"/>
      <c r="J88" s="37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 spans="1:27" x14ac:dyDescent="0.25">
      <c r="A89" s="37"/>
      <c r="I89" s="37"/>
      <c r="J89" s="37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 spans="1:27" x14ac:dyDescent="0.25">
      <c r="A90" s="37"/>
      <c r="I90" s="37"/>
      <c r="J90" s="37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 spans="1:27" x14ac:dyDescent="0.25">
      <c r="A91" s="37"/>
      <c r="I91" s="37"/>
      <c r="J91" s="37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 spans="1:27" x14ac:dyDescent="0.25">
      <c r="A92" s="37"/>
      <c r="I92" s="37"/>
      <c r="J92" s="37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 spans="1:27" x14ac:dyDescent="0.25">
      <c r="A93" s="37"/>
      <c r="I93" s="37"/>
      <c r="J93" s="37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 spans="1:27" x14ac:dyDescent="0.25">
      <c r="A94" s="37"/>
      <c r="I94" s="37"/>
      <c r="J94" s="37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 spans="1:27" x14ac:dyDescent="0.25">
      <c r="A95" s="37"/>
      <c r="I95" s="37"/>
      <c r="J95" s="37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 spans="1:27" x14ac:dyDescent="0.25">
      <c r="A96" s="37"/>
      <c r="I96" s="37"/>
      <c r="J96" s="37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 spans="1:27" x14ac:dyDescent="0.25">
      <c r="A97" s="37"/>
      <c r="I97" s="37"/>
      <c r="J97" s="37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 spans="1:27" x14ac:dyDescent="0.25">
      <c r="A98" s="37"/>
      <c r="I98" s="37"/>
      <c r="J98" s="37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 spans="1:27" x14ac:dyDescent="0.25">
      <c r="A99" s="37"/>
      <c r="I99" s="37"/>
      <c r="J99" s="37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 spans="1:27" x14ac:dyDescent="0.25">
      <c r="A100" s="37"/>
      <c r="I100" s="37"/>
      <c r="J100" s="37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 spans="1:27" x14ac:dyDescent="0.25">
      <c r="A101" s="37"/>
      <c r="I101" s="37"/>
      <c r="J101" s="37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 spans="1:27" x14ac:dyDescent="0.25">
      <c r="A102" s="37"/>
      <c r="I102" s="37"/>
      <c r="J102" s="37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</sheetData>
  <mergeCells count="2">
    <mergeCell ref="A1:J1"/>
    <mergeCell ref="L1:N1"/>
  </mergeCells>
  <phoneticPr fontId="32" type="noConversion"/>
  <conditionalFormatting sqref="H8:I10 H13:I16 H18:I21 H3:I6">
    <cfRule type="cellIs" dxfId="174" priority="46" stopIfTrue="1" operator="lessThan">
      <formula>0.0001</formula>
    </cfRule>
    <cfRule type="cellIs" dxfId="173" priority="47" stopIfTrue="1" operator="lessThan">
      <formula>0.001</formula>
    </cfRule>
    <cfRule type="cellIs" dxfId="172" priority="48" stopIfTrue="1" operator="lessThan">
      <formula>0.05</formula>
    </cfRule>
    <cfRule type="cellIs" dxfId="171" priority="49" stopIfTrue="1" operator="lessThan">
      <formula>0.1</formula>
    </cfRule>
  </conditionalFormatting>
  <conditionalFormatting sqref="J8:J11 J13:J16 J18:J21 J3:J6">
    <cfRule type="containsText" dxfId="170" priority="37" stopIfTrue="1" operator="containsText" text="p&lt;0.0001">
      <formula>NOT(ISERROR(SEARCH("p&lt;0.0001",J3)))</formula>
    </cfRule>
    <cfRule type="containsText" dxfId="169" priority="42" stopIfTrue="1" operator="containsText" text="p&lt;0.001">
      <formula>NOT(ISERROR(SEARCH("p&lt;0.001",J3)))</formula>
    </cfRule>
    <cfRule type="containsText" dxfId="168" priority="43" stopIfTrue="1" operator="containsText" text="p&lt;0.01">
      <formula>NOT(ISERROR(SEARCH("p&lt;0.01",J3)))</formula>
    </cfRule>
    <cfRule type="containsText" dxfId="167" priority="44" stopIfTrue="1" operator="containsText" text="p&lt;0.05">
      <formula>NOT(ISERROR(SEARCH("p&lt;0.05",J3)))</formula>
    </cfRule>
    <cfRule type="containsText" dxfId="166" priority="45" stopIfTrue="1" operator="containsText" text="p&lt;0.1">
      <formula>NOT(ISERROR(SEARCH("p&lt;0.1",J3)))</formula>
    </cfRule>
  </conditionalFormatting>
  <conditionalFormatting sqref="I11">
    <cfRule type="cellIs" dxfId="165" priority="38" stopIfTrue="1" operator="lessThan">
      <formula>0.0001</formula>
    </cfRule>
    <cfRule type="cellIs" dxfId="164" priority="39" stopIfTrue="1" operator="lessThan">
      <formula>0.001</formula>
    </cfRule>
    <cfRule type="cellIs" dxfId="163" priority="40" stopIfTrue="1" operator="lessThan">
      <formula>0.05</formula>
    </cfRule>
    <cfRule type="cellIs" dxfId="162" priority="41" stopIfTrue="1" operator="lessThan">
      <formula>0.1</formula>
    </cfRule>
  </conditionalFormatting>
  <conditionalFormatting sqref="F25:F32 F36:F43 F47:F54 F58:F65 F33:G33 A55">
    <cfRule type="cellIs" dxfId="161" priority="5" operator="lessThan">
      <formula>0.05</formula>
    </cfRule>
  </conditionalFormatting>
  <conditionalFormatting sqref="H11">
    <cfRule type="cellIs" dxfId="160" priority="1" stopIfTrue="1" operator="lessThan">
      <formula>0.0001</formula>
    </cfRule>
    <cfRule type="cellIs" dxfId="159" priority="2" stopIfTrue="1" operator="lessThan">
      <formula>0.001</formula>
    </cfRule>
    <cfRule type="cellIs" dxfId="158" priority="3" stopIfTrue="1" operator="lessThan">
      <formula>0.05</formula>
    </cfRule>
    <cfRule type="cellIs" dxfId="157" priority="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A31"/>
  <sheetViews>
    <sheetView showGridLines="0" zoomScale="70" zoomScaleNormal="70" zoomScaleSheetLayoutView="55" workbookViewId="0">
      <selection activeCell="I4" sqref="I4"/>
    </sheetView>
  </sheetViews>
  <sheetFormatPr defaultColWidth="13.88671875" defaultRowHeight="13.2" x14ac:dyDescent="0.25"/>
  <cols>
    <col min="1" max="1" width="17.109375" style="73" customWidth="1"/>
    <col min="2" max="6" width="11.88671875" style="38" customWidth="1"/>
    <col min="7" max="7" width="11.88671875" style="76" customWidth="1"/>
    <col min="8" max="10" width="11.88671875" style="74" customWidth="1"/>
    <col min="11" max="12" width="11.44140625" style="38" customWidth="1"/>
    <col min="13" max="14" width="8.6640625" style="38" customWidth="1"/>
    <col min="15" max="15" width="11.44140625" style="71" customWidth="1"/>
    <col min="16" max="16" width="9.6640625" style="71" customWidth="1"/>
    <col min="17" max="17" width="11.44140625" style="71" customWidth="1"/>
    <col min="18" max="19" width="7.6640625" style="38" customWidth="1"/>
    <col min="20" max="21" width="11.44140625" style="38" customWidth="1"/>
    <col min="22" max="23" width="8.6640625" style="38" customWidth="1"/>
    <col min="24" max="24" width="11.44140625" style="71" customWidth="1"/>
    <col min="25" max="25" width="9.6640625" style="71" customWidth="1"/>
    <col min="26" max="26" width="11.44140625" style="71" customWidth="1"/>
    <col min="27" max="28" width="7.6640625" style="38" customWidth="1"/>
    <col min="29" max="30" width="11.44140625" style="38" customWidth="1"/>
    <col min="31" max="32" width="8.6640625" style="38" customWidth="1"/>
    <col min="33" max="33" width="11.44140625" style="71" customWidth="1"/>
    <col min="34" max="34" width="9.6640625" style="71" customWidth="1"/>
    <col min="35" max="35" width="11.44140625" style="71" customWidth="1"/>
    <col min="36" max="37" width="7.6640625" style="38" customWidth="1"/>
    <col min="38" max="39" width="11.44140625" style="38" customWidth="1"/>
    <col min="40" max="41" width="8.6640625" style="38" customWidth="1"/>
    <col min="42" max="42" width="11.44140625" style="71" customWidth="1"/>
    <col min="43" max="43" width="9.6640625" style="71" customWidth="1"/>
    <col min="44" max="44" width="11.44140625" style="71" customWidth="1"/>
    <col min="45" max="46" width="7.6640625" style="38" customWidth="1"/>
    <col min="47" max="48" width="11.44140625" style="38" customWidth="1"/>
    <col min="49" max="50" width="8.6640625" style="38" customWidth="1"/>
    <col min="51" max="51" width="11.44140625" style="71" customWidth="1"/>
    <col min="52" max="52" width="9.6640625" style="71" customWidth="1"/>
    <col min="53" max="53" width="11.44140625" style="71" customWidth="1"/>
    <col min="54" max="55" width="11.44140625" style="38" customWidth="1"/>
    <col min="56" max="16384" width="13.88671875" style="38"/>
  </cols>
  <sheetData>
    <row r="1" spans="1:53" s="199" customFormat="1" ht="24" customHeight="1" thickBot="1" x14ac:dyDescent="0.45">
      <c r="A1" s="260" t="s">
        <v>73</v>
      </c>
      <c r="B1" s="260"/>
      <c r="C1" s="260"/>
      <c r="D1" s="260"/>
      <c r="E1" s="260"/>
      <c r="F1" s="260"/>
      <c r="G1" s="260"/>
      <c r="H1" s="260"/>
      <c r="I1" s="260"/>
      <c r="J1" s="260"/>
      <c r="O1" s="200"/>
      <c r="P1" s="200"/>
      <c r="Q1" s="200"/>
      <c r="X1" s="200"/>
      <c r="Y1" s="200"/>
      <c r="Z1" s="200"/>
      <c r="AG1" s="200"/>
      <c r="AH1" s="200"/>
      <c r="AI1" s="200"/>
      <c r="AP1" s="200"/>
      <c r="AQ1" s="200"/>
      <c r="AR1" s="200"/>
      <c r="AY1" s="200"/>
      <c r="AZ1" s="200"/>
      <c r="BA1" s="200"/>
    </row>
    <row r="2" spans="1:53" s="59" customFormat="1" ht="15.75" customHeight="1" thickTop="1" thickBot="1" x14ac:dyDescent="0.3">
      <c r="A2" s="57" t="s">
        <v>34</v>
      </c>
      <c r="B2" s="39" t="s">
        <v>33</v>
      </c>
      <c r="C2" s="39" t="s">
        <v>7</v>
      </c>
      <c r="D2" s="39" t="s">
        <v>43</v>
      </c>
      <c r="E2" s="39" t="str">
        <f>[13]Mode_PA_l_f0_b0!E1</f>
        <v>std.error</v>
      </c>
      <c r="F2" s="57" t="s">
        <v>6</v>
      </c>
      <c r="G2" s="75" t="s">
        <v>9</v>
      </c>
      <c r="H2" s="58" t="s">
        <v>18</v>
      </c>
      <c r="I2" s="58" t="s">
        <v>40</v>
      </c>
      <c r="J2" s="58" t="s">
        <v>21</v>
      </c>
      <c r="K2" s="148" t="s">
        <v>64</v>
      </c>
    </row>
    <row r="3" spans="1:53" s="64" customFormat="1" ht="15.75" customHeight="1" thickTop="1" x14ac:dyDescent="0.25">
      <c r="A3" s="60" t="s">
        <v>41</v>
      </c>
      <c r="B3" s="60">
        <f>[21]Mode_PA_l_f0_b1!C2</f>
        <v>8.5999999999999993E-2</v>
      </c>
      <c r="C3" s="60">
        <f>[21]Mode_PA_l_f0_b1!D2</f>
        <v>-0.17687652601089701</v>
      </c>
      <c r="D3" s="60">
        <f>[21]Mode_PA_l_f0_b1!E2</f>
        <v>0.348471817940809</v>
      </c>
      <c r="E3" s="61">
        <f>[21]Mode_PA_l_f0_b1!F2</f>
        <v>0.13400000000000001</v>
      </c>
      <c r="F3" s="61">
        <f>[21]Mode_PA_l_f0_b1!G2</f>
        <v>0.64100000000000001</v>
      </c>
      <c r="G3" s="60">
        <f>[21]Mode_PA_l_f0_b1!H2</f>
        <v>598.97</v>
      </c>
      <c r="H3" s="62">
        <f>[21]Mode_PA_l_f0_b1!I2</f>
        <v>0.52100000000000002</v>
      </c>
      <c r="I3" s="77">
        <f>[21]Mode_PA_l_f0_b1!J2</f>
        <v>0.61699999999999999</v>
      </c>
      <c r="J3" s="63">
        <f>[21]Mode_PA_l_f0_b1!K2</f>
        <v>0</v>
      </c>
      <c r="K3" s="149">
        <f>B3-C3</f>
        <v>0.262876526010897</v>
      </c>
    </row>
    <row r="4" spans="1:53" s="64" customFormat="1" ht="15.75" customHeight="1" x14ac:dyDescent="0.25">
      <c r="A4" s="65" t="s">
        <v>42</v>
      </c>
      <c r="B4" s="65">
        <f>[22]Mode_PA_h_f0_b1!C2</f>
        <v>0.41699999999999998</v>
      </c>
      <c r="C4" s="65">
        <f>[22]Mode_PA_h_f0_b1!D2</f>
        <v>3.2769822586865102E-2</v>
      </c>
      <c r="D4" s="65">
        <f>[22]Mode_PA_h_f0_b1!E2</f>
        <v>0.80218190938980705</v>
      </c>
      <c r="E4" s="66">
        <f>[22]Mode_PA_h_f0_b1!F2</f>
        <v>0.19600000000000001</v>
      </c>
      <c r="F4" s="66">
        <f>[22]Mode_PA_h_f0_b1!G2</f>
        <v>2.1309999999999998</v>
      </c>
      <c r="G4" s="65">
        <f>[22]Mode_PA_h_f0_b1!H2</f>
        <v>609.98</v>
      </c>
      <c r="H4" s="67">
        <f>[22]Mode_PA_h_f0_b1!I2</f>
        <v>3.3000000000000002E-2</v>
      </c>
      <c r="I4" s="78">
        <f>[22]Mode_PA_h_f0_b1!J2</f>
        <v>5.3999999999999999E-2</v>
      </c>
      <c r="J4" s="68">
        <f>[22]Mode_PA_h_f0_b1!K2</f>
        <v>0</v>
      </c>
      <c r="K4" s="149">
        <f t="shared" ref="K4:K6" si="0">B4-C4</f>
        <v>0.38423017741313487</v>
      </c>
    </row>
    <row r="5" spans="1:53" s="70" customFormat="1" ht="15.75" customHeight="1" x14ac:dyDescent="0.25">
      <c r="A5" s="69" t="s">
        <v>4</v>
      </c>
      <c r="B5" s="65">
        <f>[23]Mode_PA_l_t_b1!C2</f>
        <v>0.32500000000000001</v>
      </c>
      <c r="C5" s="65">
        <f>[23]Mode_PA_l_t_b1!D2</f>
        <v>-3.5449395705412399</v>
      </c>
      <c r="D5" s="65">
        <f>[23]Mode_PA_l_t_b1!E2</f>
        <v>4.1943195758573397</v>
      </c>
      <c r="E5" s="65">
        <f>[23]Mode_PA_l_t_b1!F2</f>
        <v>1.97</v>
      </c>
      <c r="F5" s="66">
        <f>[23]Mode_PA_l_t_b1!G2</f>
        <v>0.16500000000000001</v>
      </c>
      <c r="G5" s="65">
        <f>[23]Mode_PA_l_t_b1!H2</f>
        <v>604.92999999999995</v>
      </c>
      <c r="H5" s="67">
        <f>[23]Mode_PA_l_t_b1!I2</f>
        <v>0.86899999999999999</v>
      </c>
      <c r="I5" s="67">
        <f>[23]Mode_PA_l_t_b1!J2</f>
        <v>0.93799999999999994</v>
      </c>
      <c r="J5" s="68">
        <f>[23]Mode_PA_l_t_b1!K2</f>
        <v>0</v>
      </c>
      <c r="K5" s="149">
        <f t="shared" si="0"/>
        <v>3.86993957054124</v>
      </c>
    </row>
    <row r="6" spans="1:53" s="70" customFormat="1" ht="15.75" customHeight="1" thickBot="1" x14ac:dyDescent="0.3">
      <c r="A6" s="69" t="s">
        <v>3</v>
      </c>
      <c r="B6" s="65">
        <f>[24]Mode_PA_h_t_b1!C2</f>
        <v>-0.45100000000000001</v>
      </c>
      <c r="C6" s="65">
        <f>[24]Mode_PA_h_t_b1!D2</f>
        <v>-6.1920653229988698</v>
      </c>
      <c r="D6" s="65">
        <f>[24]Mode_PA_h_t_b1!E2</f>
        <v>5.2894011087549098</v>
      </c>
      <c r="E6" s="65">
        <f>[24]Mode_PA_h_t_b1!F2</f>
        <v>2.923</v>
      </c>
      <c r="F6" s="66">
        <f>[24]Mode_PA_h_t_b1!G2</f>
        <v>-0.154</v>
      </c>
      <c r="G6" s="65">
        <f>[24]Mode_PA_h_t_b1!H2</f>
        <v>608.04</v>
      </c>
      <c r="H6" s="67">
        <f>[24]Mode_PA_h_t_b1!I2</f>
        <v>0.877</v>
      </c>
      <c r="I6" s="67">
        <f>[24]Mode_PA_h_t_b1!J2</f>
        <v>0.93799999999999994</v>
      </c>
      <c r="J6" s="68">
        <f>[24]Mode_PA_h_t_b1!K2</f>
        <v>0</v>
      </c>
      <c r="K6" s="149">
        <f t="shared" si="0"/>
        <v>5.7410653229988702</v>
      </c>
    </row>
    <row r="7" spans="1:53" ht="15.75" customHeight="1" thickTop="1" thickBot="1" x14ac:dyDescent="0.3">
      <c r="A7" s="57" t="s">
        <v>35</v>
      </c>
      <c r="B7" s="57" t="str">
        <f t="shared" ref="B7:H7" si="1">B2</f>
        <v>est.</v>
      </c>
      <c r="C7" s="57" t="str">
        <f t="shared" si="1"/>
        <v>2.5% CI</v>
      </c>
      <c r="D7" s="57" t="str">
        <f t="shared" si="1"/>
        <v>07.5% CI</v>
      </c>
      <c r="E7" s="57" t="str">
        <f t="shared" si="1"/>
        <v>std.error</v>
      </c>
      <c r="F7" s="57" t="str">
        <f t="shared" si="1"/>
        <v>t</v>
      </c>
      <c r="G7" s="75" t="str">
        <f t="shared" si="1"/>
        <v>df</v>
      </c>
      <c r="H7" s="58" t="str">
        <f t="shared" si="1"/>
        <v>p. val.</v>
      </c>
      <c r="I7" s="58" t="s">
        <v>40</v>
      </c>
      <c r="J7" s="58" t="str">
        <f>J2</f>
        <v>sig.</v>
      </c>
      <c r="K7" s="148" t="s">
        <v>64</v>
      </c>
    </row>
    <row r="8" spans="1:53" ht="15.75" customHeight="1" thickTop="1" x14ac:dyDescent="0.25">
      <c r="A8" s="60" t="s">
        <v>41</v>
      </c>
      <c r="B8" s="60">
        <f>[21]Mode_PA_l_f0_b1!C3</f>
        <v>1.1879999999999999</v>
      </c>
      <c r="C8" s="60">
        <f>[21]Mode_PA_l_f0_b1!D3</f>
        <v>0.89789380261555396</v>
      </c>
      <c r="D8" s="60">
        <f>[21]Mode_PA_l_f0_b1!E3</f>
        <v>1.4777286068392399</v>
      </c>
      <c r="E8" s="61">
        <f>[21]Mode_PA_l_f0_b1!F3</f>
        <v>0.14799999999999999</v>
      </c>
      <c r="F8" s="61">
        <f>[21]Mode_PA_l_f0_b1!G3</f>
        <v>8.0459999999999994</v>
      </c>
      <c r="G8" s="60">
        <f>[21]Mode_PA_l_f0_b1!H3</f>
        <v>599.01</v>
      </c>
      <c r="H8" s="62">
        <f>[21]Mode_PA_l_f0_b1!I3</f>
        <v>4.5999999999999998E-15</v>
      </c>
      <c r="I8" s="77">
        <f>[21]Mode_PA_l_f0_b1!J3</f>
        <v>3.2000000000000002E-14</v>
      </c>
      <c r="J8" s="63" t="str">
        <f>[21]Mode_PA_l_f0_b1!K3</f>
        <v>p&lt;0.0001</v>
      </c>
      <c r="K8" s="149">
        <f>B8-C8</f>
        <v>0.29010619738444599</v>
      </c>
    </row>
    <row r="9" spans="1:53" ht="15.75" customHeight="1" x14ac:dyDescent="0.25">
      <c r="A9" s="65" t="s">
        <v>42</v>
      </c>
      <c r="B9" s="65">
        <f>[22]Mode_PA_h_f0_b1!C3</f>
        <v>1.129</v>
      </c>
      <c r="C9" s="65">
        <f>[22]Mode_PA_h_f0_b1!D3</f>
        <v>0.70325590719008901</v>
      </c>
      <c r="D9" s="65">
        <f>[22]Mode_PA_h_f0_b1!E3</f>
        <v>1.55518639476166</v>
      </c>
      <c r="E9" s="66">
        <f>[22]Mode_PA_h_f0_b1!F3</f>
        <v>0.217</v>
      </c>
      <c r="F9" s="66">
        <f>[22]Mode_PA_h_f0_b1!G3</f>
        <v>5.2060000000000004</v>
      </c>
      <c r="G9" s="65">
        <f>[22]Mode_PA_h_f0_b1!H3</f>
        <v>610.05999999999995</v>
      </c>
      <c r="H9" s="67">
        <f>[22]Mode_PA_h_f0_b1!I3</f>
        <v>2.6E-7</v>
      </c>
      <c r="I9" s="78">
        <f>[22]Mode_PA_h_f0_b1!J3</f>
        <v>9.9999999999999995E-7</v>
      </c>
      <c r="J9" s="68" t="str">
        <f>[22]Mode_PA_h_f0_b1!K3</f>
        <v>p&lt;0.0001</v>
      </c>
      <c r="K9" s="149">
        <f t="shared" ref="K9:K11" si="2">B9-C9</f>
        <v>0.42574409280991099</v>
      </c>
    </row>
    <row r="10" spans="1:53" ht="15.75" customHeight="1" x14ac:dyDescent="0.25">
      <c r="A10" s="69" t="s">
        <v>4</v>
      </c>
      <c r="B10" s="69">
        <f>[23]Mode_PA_l_t_b1!C3</f>
        <v>2.0680000000000001</v>
      </c>
      <c r="C10" s="69">
        <f>[23]Mode_PA_l_t_b1!D3</f>
        <v>-2.2250529520495501</v>
      </c>
      <c r="D10" s="69">
        <f>[23]Mode_PA_l_t_b1!E3</f>
        <v>6.3616380615155297</v>
      </c>
      <c r="E10" s="65">
        <f>[23]Mode_PA_l_t_b1!F3</f>
        <v>2.1859999999999999</v>
      </c>
      <c r="F10" s="66">
        <f>[23]Mode_PA_l_t_b1!G3</f>
        <v>0.94599999999999995</v>
      </c>
      <c r="G10" s="65">
        <f>[23]Mode_PA_l_t_b1!H3</f>
        <v>605.15</v>
      </c>
      <c r="H10" s="67">
        <f>[23]Mode_PA_l_t_b1!I3</f>
        <v>0.34399999999999997</v>
      </c>
      <c r="I10" s="67">
        <f>[23]Mode_PA_l_t_b1!J3</f>
        <v>0.44600000000000001</v>
      </c>
      <c r="J10" s="68">
        <f>[23]Mode_PA_l_t_b1!K3</f>
        <v>0</v>
      </c>
      <c r="K10" s="149">
        <f t="shared" si="2"/>
        <v>4.2930529520495497</v>
      </c>
    </row>
    <row r="11" spans="1:53" ht="15.75" customHeight="1" thickBot="1" x14ac:dyDescent="0.3">
      <c r="A11" s="69" t="s">
        <v>3</v>
      </c>
      <c r="B11" s="69">
        <f>[24]Mode_PA_h_t_b1!C3</f>
        <v>-7.9000000000000001E-2</v>
      </c>
      <c r="C11" s="69">
        <f>[24]Mode_PA_h_t_b1!D3</f>
        <v>-6.4355930497881104</v>
      </c>
      <c r="D11" s="69">
        <f>[24]Mode_PA_h_t_b1!E3</f>
        <v>6.2766427277463697</v>
      </c>
      <c r="E11" s="65">
        <f>[24]Mode_PA_h_t_b1!F3</f>
        <v>3.2370000000000001</v>
      </c>
      <c r="F11" s="66">
        <f>[24]Mode_PA_h_t_b1!G3</f>
        <v>-2.5000000000000001E-2</v>
      </c>
      <c r="G11" s="65">
        <f>[24]Mode_PA_h_t_b1!H3</f>
        <v>608.29</v>
      </c>
      <c r="H11" s="66">
        <f>[24]Mode_PA_h_t_b1!I3</f>
        <v>0.98</v>
      </c>
      <c r="I11" s="67">
        <f>[24]Mode_PA_h_t_b1!J3</f>
        <v>0.98399999999999999</v>
      </c>
      <c r="J11" s="68">
        <f>[24]Mode_PA_h_t_b1!K3</f>
        <v>0</v>
      </c>
      <c r="K11" s="149">
        <f t="shared" si="2"/>
        <v>6.3565930497881107</v>
      </c>
    </row>
    <row r="12" spans="1:53" ht="15.75" customHeight="1" thickTop="1" thickBot="1" x14ac:dyDescent="0.3">
      <c r="A12" s="57" t="s">
        <v>36</v>
      </c>
      <c r="B12" s="57" t="str">
        <f t="shared" ref="B12:H12" si="3">B2</f>
        <v>est.</v>
      </c>
      <c r="C12" s="57" t="str">
        <f t="shared" si="3"/>
        <v>2.5% CI</v>
      </c>
      <c r="D12" s="57" t="str">
        <f t="shared" si="3"/>
        <v>07.5% CI</v>
      </c>
      <c r="E12" s="57" t="str">
        <f t="shared" si="3"/>
        <v>std.error</v>
      </c>
      <c r="F12" s="57" t="str">
        <f t="shared" si="3"/>
        <v>t</v>
      </c>
      <c r="G12" s="75" t="str">
        <f t="shared" si="3"/>
        <v>df</v>
      </c>
      <c r="H12" s="58" t="str">
        <f t="shared" si="3"/>
        <v>p. val.</v>
      </c>
      <c r="I12" s="58" t="s">
        <v>40</v>
      </c>
      <c r="J12" s="58" t="str">
        <f>J2</f>
        <v>sig.</v>
      </c>
      <c r="K12" s="148" t="s">
        <v>64</v>
      </c>
    </row>
    <row r="13" spans="1:53" ht="15.75" customHeight="1" thickTop="1" x14ac:dyDescent="0.25">
      <c r="A13" s="60" t="s">
        <v>41</v>
      </c>
      <c r="B13" s="60">
        <f>[21]Mode_PA_l_f0_b1!C4</f>
        <v>1.042</v>
      </c>
      <c r="C13" s="60">
        <f>[21]Mode_PA_l_f0_b1!D4</f>
        <v>0.63743718426227003</v>
      </c>
      <c r="D13" s="60">
        <f>[21]Mode_PA_l_f0_b1!E4</f>
        <v>1.4461521942798901</v>
      </c>
      <c r="E13" s="60">
        <f>[21]Mode_PA_l_f0_b1!F4</f>
        <v>0.20599999999999999</v>
      </c>
      <c r="F13" s="61">
        <f>[21]Mode_PA_l_f0_b1!G4</f>
        <v>5.0599999999999996</v>
      </c>
      <c r="G13" s="60">
        <f>[21]Mode_PA_l_f0_b1!H4</f>
        <v>600.46</v>
      </c>
      <c r="H13" s="62">
        <f>[21]Mode_PA_l_f0_b1!I4</f>
        <v>5.6000000000000004E-7</v>
      </c>
      <c r="I13" s="77">
        <f>[21]Mode_PA_l_f0_b1!J4</f>
        <v>1.9E-6</v>
      </c>
      <c r="J13" s="63" t="str">
        <f>[21]Mode_PA_l_f0_b1!K4</f>
        <v>p&lt;0.0001</v>
      </c>
      <c r="K13" s="149">
        <f>B13-C13</f>
        <v>0.40456281573773001</v>
      </c>
    </row>
    <row r="14" spans="1:53" ht="15.75" customHeight="1" x14ac:dyDescent="0.25">
      <c r="A14" s="65" t="s">
        <v>42</v>
      </c>
      <c r="B14" s="65">
        <f>[22]Mode_PA_h_f0_b1!C4</f>
        <v>2.2999999999999998</v>
      </c>
      <c r="C14" s="65">
        <f>[22]Mode_PA_h_f0_b1!D4</f>
        <v>1.72620720434814</v>
      </c>
      <c r="D14" s="65">
        <f>[22]Mode_PA_h_f0_b1!E4</f>
        <v>2.8737714854497298</v>
      </c>
      <c r="E14" s="65">
        <f>[22]Mode_PA_h_f0_b1!F4</f>
        <v>0.29199999999999998</v>
      </c>
      <c r="F14" s="66">
        <f>[22]Mode_PA_h_f0_b1!G4</f>
        <v>7.8719999999999999</v>
      </c>
      <c r="G14" s="65">
        <f>[22]Mode_PA_h_f0_b1!H4</f>
        <v>611.79999999999995</v>
      </c>
      <c r="H14" s="67">
        <f>[22]Mode_PA_h_f0_b1!I4</f>
        <v>1.6000000000000001E-14</v>
      </c>
      <c r="I14" s="78">
        <f>[22]Mode_PA_h_f0_b1!J4</f>
        <v>1E-13</v>
      </c>
      <c r="J14" s="68" t="str">
        <f>[22]Mode_PA_h_f0_b1!K4</f>
        <v>p&lt;0.0001</v>
      </c>
      <c r="K14" s="149">
        <f t="shared" ref="K14:K16" si="4">B14-C14</f>
        <v>0.57379279565185981</v>
      </c>
    </row>
    <row r="15" spans="1:53" ht="15.75" customHeight="1" x14ac:dyDescent="0.25">
      <c r="A15" s="69" t="s">
        <v>4</v>
      </c>
      <c r="B15" s="69">
        <f>[23]Mode_PA_l_t_b1!C4</f>
        <v>-20.366</v>
      </c>
      <c r="C15" s="69">
        <f>[23]Mode_PA_l_t_b1!D4</f>
        <v>-26.087701974711099</v>
      </c>
      <c r="D15" s="69">
        <f>[23]Mode_PA_l_t_b1!E4</f>
        <v>-14.6448481236961</v>
      </c>
      <c r="E15" s="65">
        <f>[23]Mode_PA_l_t_b1!F4</f>
        <v>2.9129999999999998</v>
      </c>
      <c r="F15" s="66">
        <f>[23]Mode_PA_l_t_b1!G4</f>
        <v>-6.992</v>
      </c>
      <c r="G15" s="65">
        <f>[23]Mode_PA_l_t_b1!H4</f>
        <v>569.44000000000005</v>
      </c>
      <c r="H15" s="66">
        <f>[23]Mode_PA_l_t_b1!I4</f>
        <v>7.5999999999999999E-12</v>
      </c>
      <c r="I15" s="78">
        <f>[23]Mode_PA_l_t_b1!J4</f>
        <v>3.5999999999999998E-11</v>
      </c>
      <c r="J15" s="68" t="str">
        <f>[23]Mode_PA_l_t_b1!K4</f>
        <v>p&lt;0.0001</v>
      </c>
      <c r="K15" s="149">
        <f t="shared" si="4"/>
        <v>5.7217019747110989</v>
      </c>
    </row>
    <row r="16" spans="1:53" ht="15.75" customHeight="1" thickBot="1" x14ac:dyDescent="0.3">
      <c r="A16" s="69" t="s">
        <v>3</v>
      </c>
      <c r="B16" s="69">
        <f>[24]Mode_PA_h_t_b1!C4</f>
        <v>-15.894</v>
      </c>
      <c r="C16" s="69">
        <f>[24]Mode_PA_h_t_b1!D4</f>
        <v>-24.4634504601336</v>
      </c>
      <c r="D16" s="69">
        <f>[24]Mode_PA_h_t_b1!E4</f>
        <v>-7.3249491108301799</v>
      </c>
      <c r="E16" s="65">
        <f>[24]Mode_PA_h_t_b1!F4</f>
        <v>4.3630000000000004</v>
      </c>
      <c r="F16" s="66">
        <f>[24]Mode_PA_h_t_b1!G4</f>
        <v>-3.6429999999999998</v>
      </c>
      <c r="G16" s="65">
        <f>[24]Mode_PA_h_t_b1!H4</f>
        <v>610.35</v>
      </c>
      <c r="H16" s="78">
        <f>[24]Mode_PA_h_t_b1!I4</f>
        <v>2.9E-4</v>
      </c>
      <c r="I16" s="67">
        <f>[24]Mode_PA_h_t_b1!J4</f>
        <v>8.0000000000000004E-4</v>
      </c>
      <c r="J16" s="68" t="str">
        <f>[24]Mode_PA_h_t_b1!K4</f>
        <v>p&lt;0.001</v>
      </c>
      <c r="K16" s="149">
        <f t="shared" si="4"/>
        <v>8.5694504601336003</v>
      </c>
    </row>
    <row r="17" spans="1:53" ht="15.75" customHeight="1" thickTop="1" thickBot="1" x14ac:dyDescent="0.3">
      <c r="A17" s="57" t="s">
        <v>37</v>
      </c>
      <c r="B17" s="57" t="str">
        <f t="shared" ref="B17:H17" si="5">B2</f>
        <v>est.</v>
      </c>
      <c r="C17" s="57" t="str">
        <f t="shared" si="5"/>
        <v>2.5% CI</v>
      </c>
      <c r="D17" s="57" t="str">
        <f t="shared" si="5"/>
        <v>07.5% CI</v>
      </c>
      <c r="E17" s="57" t="str">
        <f t="shared" si="5"/>
        <v>std.error</v>
      </c>
      <c r="F17" s="57" t="str">
        <f t="shared" si="5"/>
        <v>t</v>
      </c>
      <c r="G17" s="75" t="str">
        <f t="shared" si="5"/>
        <v>df</v>
      </c>
      <c r="H17" s="58" t="str">
        <f t="shared" si="5"/>
        <v>p. val.</v>
      </c>
      <c r="I17" s="58" t="str">
        <f>I12</f>
        <v>p.adj.</v>
      </c>
      <c r="J17" s="58" t="str">
        <f>J2</f>
        <v>sig.</v>
      </c>
      <c r="K17" s="148" t="s">
        <v>64</v>
      </c>
    </row>
    <row r="18" spans="1:53" ht="15.75" customHeight="1" thickTop="1" x14ac:dyDescent="0.25">
      <c r="A18" s="60" t="s">
        <v>41</v>
      </c>
      <c r="B18" s="60">
        <f>[21]Mode_PA_l_f0_b1!C5</f>
        <v>1.1020000000000001</v>
      </c>
      <c r="C18" s="60">
        <f>[21]Mode_PA_l_f0_b1!D5</f>
        <v>0.81076147454720304</v>
      </c>
      <c r="D18" s="60">
        <f>[21]Mode_PA_l_f0_b1!E5</f>
        <v>1.3932656436680999</v>
      </c>
      <c r="E18" s="60">
        <f>[21]Mode_PA_l_f0_b1!F5</f>
        <v>0.14799999999999999</v>
      </c>
      <c r="F18" s="61">
        <f>[21]Mode_PA_l_f0_b1!G5</f>
        <v>7.431</v>
      </c>
      <c r="G18" s="60">
        <f>[21]Mode_PA_l_f0_b1!H5</f>
        <v>599.04</v>
      </c>
      <c r="H18" s="60">
        <f>[21]Mode_PA_l_f0_b1!I5</f>
        <v>3.6999999999999999E-13</v>
      </c>
      <c r="I18" s="77">
        <f>[21]Mode_PA_l_f0_b1!J5</f>
        <v>2E-12</v>
      </c>
      <c r="J18" s="63" t="str">
        <f>[21]Mode_PA_l_f0_b1!K5</f>
        <v>p&lt;0.0001</v>
      </c>
      <c r="K18" s="149">
        <f>B18-C18</f>
        <v>0.29123852545279705</v>
      </c>
    </row>
    <row r="19" spans="1:53" ht="15.75" customHeight="1" x14ac:dyDescent="0.25">
      <c r="A19" s="65" t="s">
        <v>42</v>
      </c>
      <c r="B19" s="65">
        <f>[22]Mode_PA_h_f0_b1!C5</f>
        <v>0.71199999999999997</v>
      </c>
      <c r="C19" s="65">
        <f>[22]Mode_PA_h_f0_b1!D5</f>
        <v>0.28494370096028898</v>
      </c>
      <c r="D19" s="65">
        <f>[22]Mode_PA_h_f0_b1!E5</f>
        <v>1.1385468689888401</v>
      </c>
      <c r="E19" s="65">
        <f>[22]Mode_PA_h_f0_b1!F5</f>
        <v>0.217</v>
      </c>
      <c r="F19" s="66">
        <f>[22]Mode_PA_h_f0_b1!G5</f>
        <v>3.2749999999999999</v>
      </c>
      <c r="G19" s="65">
        <f>[22]Mode_PA_h_f0_b1!H5</f>
        <v>610.1</v>
      </c>
      <c r="H19" s="67">
        <f>[22]Mode_PA_h_f0_b1!I5</f>
        <v>1E-3</v>
      </c>
      <c r="I19" s="67">
        <f>[22]Mode_PA_h_f0_b1!J5</f>
        <v>2E-3</v>
      </c>
      <c r="J19" s="68" t="str">
        <f>[22]Mode_PA_h_f0_b1!K5</f>
        <v>p&lt;0.01</v>
      </c>
      <c r="K19" s="149">
        <f t="shared" ref="K19:K21" si="6">B19-C19</f>
        <v>0.42705629903971098</v>
      </c>
    </row>
    <row r="20" spans="1:53" ht="15.75" customHeight="1" x14ac:dyDescent="0.25">
      <c r="A20" s="69" t="s">
        <v>4</v>
      </c>
      <c r="B20" s="69">
        <f>[23]Mode_PA_l_t_b1!C5</f>
        <v>1.744</v>
      </c>
      <c r="C20" s="69">
        <f>[23]Mode_PA_l_t_b1!D5</f>
        <v>-2.5541235585089601</v>
      </c>
      <c r="D20" s="69">
        <f>[23]Mode_PA_l_t_b1!E5</f>
        <v>6.0413286631581498</v>
      </c>
      <c r="E20" s="65">
        <f>[23]Mode_PA_l_t_b1!F5</f>
        <v>2.1880000000000002</v>
      </c>
      <c r="F20" s="66">
        <f>[23]Mode_PA_l_t_b1!G5</f>
        <v>0.79700000000000004</v>
      </c>
      <c r="G20" s="65">
        <f>[23]Mode_PA_l_t_b1!H5</f>
        <v>605.33000000000004</v>
      </c>
      <c r="H20" s="67">
        <f>[23]Mode_PA_l_t_b1!I5</f>
        <v>0.42599999999999999</v>
      </c>
      <c r="I20" s="67">
        <f>[23]Mode_PA_l_t_b1!J5</f>
        <v>0.53100000000000003</v>
      </c>
      <c r="J20" s="68">
        <f>[23]Mode_PA_l_t_b1!K5</f>
        <v>0</v>
      </c>
      <c r="K20" s="149">
        <f t="shared" si="6"/>
        <v>4.2981235585089603</v>
      </c>
    </row>
    <row r="21" spans="1:53" ht="15.75" customHeight="1" thickBot="1" x14ac:dyDescent="0.3">
      <c r="A21" s="69" t="s">
        <v>3</v>
      </c>
      <c r="B21" s="69">
        <f>[24]Mode_PA_h_t_b1!C5</f>
        <v>0.372</v>
      </c>
      <c r="C21" s="69">
        <f>[24]Mode_PA_h_t_b1!D5</f>
        <v>-5.99640455897738</v>
      </c>
      <c r="D21" s="69">
        <f>[24]Mode_PA_h_t_b1!E5</f>
        <v>6.7401184461608503</v>
      </c>
      <c r="E21" s="65">
        <f>[24]Mode_PA_h_t_b1!F5</f>
        <v>3.2429999999999999</v>
      </c>
      <c r="F21" s="66">
        <f>[24]Mode_PA_h_t_b1!G5</f>
        <v>0.115</v>
      </c>
      <c r="G21" s="65">
        <f>[24]Mode_PA_h_t_b1!H5</f>
        <v>608.4</v>
      </c>
      <c r="H21" s="67">
        <f>[24]Mode_PA_h_t_b1!I5</f>
        <v>0.90900000000000003</v>
      </c>
      <c r="I21" s="67">
        <f>[24]Mode_PA_h_t_b1!J5</f>
        <v>0.93799999999999994</v>
      </c>
      <c r="J21" s="68">
        <f>[24]Mode_PA_h_t_b1!K5</f>
        <v>0</v>
      </c>
      <c r="K21" s="149">
        <f t="shared" si="6"/>
        <v>6.3684045589773799</v>
      </c>
    </row>
    <row r="22" spans="1:53" ht="15.75" customHeight="1" thickTop="1" thickBot="1" x14ac:dyDescent="0.3">
      <c r="A22" s="57" t="s">
        <v>38</v>
      </c>
      <c r="B22" s="57" t="str">
        <f t="shared" ref="B22:H22" si="7">B2</f>
        <v>est.</v>
      </c>
      <c r="C22" s="57" t="str">
        <f t="shared" si="7"/>
        <v>2.5% CI</v>
      </c>
      <c r="D22" s="57" t="str">
        <f t="shared" si="7"/>
        <v>07.5% CI</v>
      </c>
      <c r="E22" s="57" t="str">
        <f t="shared" si="7"/>
        <v>std.error</v>
      </c>
      <c r="F22" s="57" t="str">
        <f t="shared" si="7"/>
        <v>t</v>
      </c>
      <c r="G22" s="75" t="str">
        <f t="shared" si="7"/>
        <v>df</v>
      </c>
      <c r="H22" s="58" t="str">
        <f t="shared" si="7"/>
        <v>p. val.</v>
      </c>
      <c r="I22" s="58" t="s">
        <v>40</v>
      </c>
      <c r="J22" s="58" t="str">
        <f>J2</f>
        <v>sig.</v>
      </c>
      <c r="K22" s="148" t="s">
        <v>64</v>
      </c>
    </row>
    <row r="23" spans="1:53" ht="15.75" customHeight="1" thickTop="1" x14ac:dyDescent="0.25">
      <c r="A23" s="60" t="s">
        <v>41</v>
      </c>
      <c r="B23" s="60">
        <f>[21]Mode_PA_l_f0_b1!C6</f>
        <v>0.95599999999999996</v>
      </c>
      <c r="C23" s="60">
        <f>[21]Mode_PA_l_f0_b1!D6</f>
        <v>0.54997486140528795</v>
      </c>
      <c r="D23" s="60">
        <f>[21]Mode_PA_l_f0_b1!E6</f>
        <v>1.36201922907551</v>
      </c>
      <c r="E23" s="60">
        <f>[21]Mode_PA_l_f0_b1!F6</f>
        <v>0.20699999999999999</v>
      </c>
      <c r="F23" s="61">
        <f>[21]Mode_PA_l_f0_b1!G6</f>
        <v>4.6239999999999997</v>
      </c>
      <c r="G23" s="60">
        <f>[21]Mode_PA_l_f0_b1!H6</f>
        <v>600.49</v>
      </c>
      <c r="H23" s="60">
        <f>[21]Mode_PA_l_f0_b1!I6</f>
        <v>4.6E-6</v>
      </c>
      <c r="I23" s="77">
        <f>[21]Mode_PA_l_f0_b1!J6</f>
        <v>1.5E-5</v>
      </c>
      <c r="J23" s="63" t="str">
        <f>[21]Mode_PA_l_f0_b1!K6</f>
        <v>p&lt;0.0001</v>
      </c>
      <c r="K23" s="149">
        <f>B23-C23</f>
        <v>0.40602513859471201</v>
      </c>
    </row>
    <row r="24" spans="1:53" ht="15.75" customHeight="1" x14ac:dyDescent="0.25">
      <c r="A24" s="65" t="s">
        <v>42</v>
      </c>
      <c r="B24" s="65">
        <f>[22]Mode_PA_h_f0_b1!C6</f>
        <v>1.883</v>
      </c>
      <c r="C24" s="65">
        <f>[22]Mode_PA_h_f0_b1!D6</f>
        <v>1.30763584471529</v>
      </c>
      <c r="D24" s="65">
        <f>[22]Mode_PA_h_f0_b1!E6</f>
        <v>2.4573911124536898</v>
      </c>
      <c r="E24" s="65">
        <f>[22]Mode_PA_h_f0_b1!F6</f>
        <v>0.29299999999999998</v>
      </c>
      <c r="F24" s="66">
        <f>[22]Mode_PA_h_f0_b1!G6</f>
        <v>6.431</v>
      </c>
      <c r="G24" s="65">
        <f>[22]Mode_PA_h_f0_b1!H6</f>
        <v>611.84</v>
      </c>
      <c r="H24" s="65">
        <f>[22]Mode_PA_h_f0_b1!I6</f>
        <v>2.5999999999999998E-10</v>
      </c>
      <c r="I24" s="78">
        <f>[22]Mode_PA_h_f0_b1!J6</f>
        <v>1.0999999999999999E-9</v>
      </c>
      <c r="J24" s="68" t="str">
        <f>[22]Mode_PA_h_f0_b1!K6</f>
        <v>p&lt;0.0001</v>
      </c>
      <c r="K24" s="149">
        <f t="shared" ref="K24:K26" si="8">B24-C24</f>
        <v>0.57536415528470997</v>
      </c>
    </row>
    <row r="25" spans="1:53" ht="15.75" customHeight="1" x14ac:dyDescent="0.25">
      <c r="A25" s="69" t="s">
        <v>4</v>
      </c>
      <c r="B25" s="69">
        <f>[23]Mode_PA_l_t_b1!C6</f>
        <v>-20.690999999999999</v>
      </c>
      <c r="C25" s="69">
        <f>[23]Mode_PA_l_t_b1!D6</f>
        <v>-26.419836528801198</v>
      </c>
      <c r="D25" s="69">
        <f>[23]Mode_PA_l_t_b1!E6</f>
        <v>-14.9620935641854</v>
      </c>
      <c r="E25" s="65">
        <f>[23]Mode_PA_l_t_b1!F6</f>
        <v>2.9169999999999998</v>
      </c>
      <c r="F25" s="66">
        <f>[23]Mode_PA_l_t_b1!G6</f>
        <v>-7.0940000000000003</v>
      </c>
      <c r="G25" s="65">
        <f>[23]Mode_PA_l_t_b1!H6</f>
        <v>568.01</v>
      </c>
      <c r="H25" s="67">
        <f>[23]Mode_PA_l_t_b1!I6</f>
        <v>3.8999999999999999E-12</v>
      </c>
      <c r="I25" s="78">
        <f>[23]Mode_PA_l_t_b1!J6</f>
        <v>1.9999999999999999E-11</v>
      </c>
      <c r="J25" s="68" t="str">
        <f>[23]Mode_PA_l_t_b1!K6</f>
        <v>p&lt;0.0001</v>
      </c>
      <c r="K25" s="149">
        <f t="shared" si="8"/>
        <v>5.7288365288011995</v>
      </c>
    </row>
    <row r="26" spans="1:53" ht="15.75" customHeight="1" thickBot="1" x14ac:dyDescent="0.3">
      <c r="A26" s="69" t="s">
        <v>3</v>
      </c>
      <c r="B26" s="69">
        <f>[24]Mode_PA_h_t_b1!C6</f>
        <v>-15.443</v>
      </c>
      <c r="C26" s="69">
        <f>[24]Mode_PA_h_t_b1!D6</f>
        <v>-24.026925119708402</v>
      </c>
      <c r="D26" s="69">
        <f>[24]Mode_PA_h_t_b1!E6</f>
        <v>-6.8588102465743397</v>
      </c>
      <c r="E26" s="65">
        <f>[24]Mode_PA_h_t_b1!F6</f>
        <v>4.3710000000000004</v>
      </c>
      <c r="F26" s="66">
        <f>[24]Mode_PA_h_t_b1!G6</f>
        <v>-3.5329999999999999</v>
      </c>
      <c r="G26" s="65">
        <f>[24]Mode_PA_h_t_b1!H6</f>
        <v>610.44000000000005</v>
      </c>
      <c r="H26" s="78">
        <f>[24]Mode_PA_h_t_b1!I6</f>
        <v>4.4000000000000002E-4</v>
      </c>
      <c r="I26" s="67">
        <f>[24]Mode_PA_h_t_b1!J6</f>
        <v>1E-3</v>
      </c>
      <c r="J26" s="68" t="str">
        <f>[24]Mode_PA_h_t_b1!K6</f>
        <v>p&lt;0.01</v>
      </c>
      <c r="K26" s="149">
        <f t="shared" si="8"/>
        <v>8.5839251197084021</v>
      </c>
    </row>
    <row r="27" spans="1:53" ht="15.75" customHeight="1" thickTop="1" thickBot="1" x14ac:dyDescent="0.3">
      <c r="A27" s="57" t="s">
        <v>39</v>
      </c>
      <c r="B27" s="57" t="str">
        <f t="shared" ref="B27:H27" si="9">B2</f>
        <v>est.</v>
      </c>
      <c r="C27" s="57" t="str">
        <f t="shared" si="9"/>
        <v>2.5% CI</v>
      </c>
      <c r="D27" s="57" t="str">
        <f t="shared" si="9"/>
        <v>07.5% CI</v>
      </c>
      <c r="E27" s="57" t="str">
        <f t="shared" si="9"/>
        <v>std.error</v>
      </c>
      <c r="F27" s="57" t="str">
        <f t="shared" si="9"/>
        <v>t</v>
      </c>
      <c r="G27" s="75" t="str">
        <f t="shared" si="9"/>
        <v>df</v>
      </c>
      <c r="H27" s="58" t="str">
        <f t="shared" si="9"/>
        <v>p. val.</v>
      </c>
      <c r="I27" s="58" t="s">
        <v>40</v>
      </c>
      <c r="J27" s="72" t="str">
        <f>J7</f>
        <v>sig.</v>
      </c>
      <c r="K27" s="148" t="s">
        <v>64</v>
      </c>
      <c r="L27" s="71"/>
      <c r="M27" s="71"/>
      <c r="N27" s="71"/>
      <c r="O27" s="38"/>
      <c r="P27" s="38"/>
      <c r="Q27" s="38"/>
      <c r="U27" s="71"/>
      <c r="V27" s="71"/>
      <c r="W27" s="71"/>
      <c r="X27" s="38"/>
      <c r="Y27" s="38"/>
      <c r="Z27" s="38"/>
      <c r="AD27" s="71"/>
      <c r="AE27" s="71"/>
      <c r="AF27" s="71"/>
      <c r="AG27" s="38"/>
      <c r="AH27" s="38"/>
      <c r="AI27" s="38"/>
      <c r="AM27" s="71"/>
      <c r="AN27" s="71"/>
      <c r="AO27" s="71"/>
      <c r="AP27" s="38"/>
      <c r="AQ27" s="38"/>
      <c r="AR27" s="38"/>
      <c r="AV27" s="71"/>
      <c r="AW27" s="71"/>
      <c r="AX27" s="71"/>
      <c r="AY27" s="38"/>
      <c r="AZ27" s="38"/>
      <c r="BA27" s="38"/>
    </row>
    <row r="28" spans="1:53" ht="15.75" customHeight="1" thickTop="1" x14ac:dyDescent="0.25">
      <c r="A28" s="60" t="s">
        <v>41</v>
      </c>
      <c r="B28" s="60">
        <f>[21]Mode_PA_l_f0_b1!C7</f>
        <v>-0.14599999999999999</v>
      </c>
      <c r="C28" s="60">
        <f>[21]Mode_PA_l_f0_b1!D7</f>
        <v>-0.56249167780578202</v>
      </c>
      <c r="D28" s="60">
        <f>[21]Mode_PA_l_f0_b1!E7</f>
        <v>0.270458625601048</v>
      </c>
      <c r="E28" s="61">
        <f>[21]Mode_PA_l_f0_b1!F7</f>
        <v>0.21199999999999999</v>
      </c>
      <c r="F28" s="61">
        <f>[21]Mode_PA_l_f0_b1!G7</f>
        <v>-0.68899999999999995</v>
      </c>
      <c r="G28" s="60">
        <f>[21]Mode_PA_l_f0_b1!H7</f>
        <v>600.35</v>
      </c>
      <c r="H28" s="62">
        <f>[21]Mode_PA_l_f0_b1!I7</f>
        <v>0.49099999999999999</v>
      </c>
      <c r="I28" s="62">
        <f>[21]Mode_PA_l_f0_b1!J7</f>
        <v>0.58899999999999997</v>
      </c>
      <c r="J28" s="63">
        <f>[21]Mode_PA_l_f0_b1!K7</f>
        <v>0</v>
      </c>
      <c r="K28" s="149">
        <f>B28-C28</f>
        <v>0.416491677805782</v>
      </c>
      <c r="L28" s="71"/>
      <c r="M28" s="71"/>
      <c r="N28" s="71"/>
      <c r="O28" s="38"/>
      <c r="P28" s="38"/>
      <c r="Q28" s="38"/>
      <c r="U28" s="71"/>
      <c r="V28" s="71"/>
      <c r="W28" s="71"/>
      <c r="X28" s="38"/>
      <c r="Y28" s="38"/>
      <c r="Z28" s="38"/>
      <c r="AD28" s="71"/>
      <c r="AE28" s="71"/>
      <c r="AF28" s="71"/>
      <c r="AG28" s="38"/>
      <c r="AH28" s="38"/>
      <c r="AI28" s="38"/>
      <c r="AM28" s="71"/>
      <c r="AN28" s="71"/>
      <c r="AO28" s="71"/>
      <c r="AP28" s="38"/>
      <c r="AQ28" s="38"/>
      <c r="AR28" s="38"/>
      <c r="AV28" s="71"/>
      <c r="AW28" s="71"/>
      <c r="AX28" s="71"/>
      <c r="AY28" s="38"/>
      <c r="AZ28" s="38"/>
      <c r="BA28" s="38"/>
    </row>
    <row r="29" spans="1:53" ht="15.75" customHeight="1" x14ac:dyDescent="0.25">
      <c r="A29" s="65" t="s">
        <v>42</v>
      </c>
      <c r="B29" s="65">
        <f>[22]Mode_PA_h_f0_b1!C7</f>
        <v>1.171</v>
      </c>
      <c r="C29" s="65">
        <f>[22]Mode_PA_h_f0_b1!D7</f>
        <v>0.57785820747160699</v>
      </c>
      <c r="D29" s="65">
        <f>[22]Mode_PA_h_f0_b1!E7</f>
        <v>1.7636781804817201</v>
      </c>
      <c r="E29" s="66">
        <f>[22]Mode_PA_h_f0_b1!F7</f>
        <v>0.30199999999999999</v>
      </c>
      <c r="F29" s="66">
        <f>[22]Mode_PA_h_f0_b1!G7</f>
        <v>3.8780000000000001</v>
      </c>
      <c r="G29" s="65">
        <f>[22]Mode_PA_h_f0_b1!H7</f>
        <v>611.64</v>
      </c>
      <c r="H29" s="78">
        <f>[22]Mode_PA_h_f0_b1!I7</f>
        <v>1.2E-4</v>
      </c>
      <c r="I29" s="78">
        <f>[22]Mode_PA_h_f0_b1!J7</f>
        <v>3.6000000000000002E-4</v>
      </c>
      <c r="J29" s="68" t="str">
        <f>[22]Mode_PA_h_f0_b1!K7</f>
        <v>p&lt;0.001</v>
      </c>
      <c r="K29" s="149">
        <f t="shared" ref="K29:K31" si="10">B29-C29</f>
        <v>0.59314179252839305</v>
      </c>
      <c r="L29" s="71"/>
      <c r="M29" s="71"/>
      <c r="N29" s="71"/>
      <c r="O29" s="38"/>
      <c r="P29" s="38"/>
      <c r="Q29" s="38"/>
      <c r="U29" s="71"/>
      <c r="V29" s="71"/>
      <c r="W29" s="71"/>
      <c r="X29" s="38"/>
      <c r="Y29" s="38"/>
      <c r="Z29" s="38"/>
      <c r="AD29" s="71"/>
      <c r="AE29" s="71"/>
      <c r="AF29" s="71"/>
      <c r="AG29" s="38"/>
      <c r="AH29" s="38"/>
      <c r="AI29" s="38"/>
      <c r="AM29" s="71"/>
      <c r="AN29" s="71"/>
      <c r="AO29" s="71"/>
      <c r="AP29" s="38"/>
      <c r="AQ29" s="38"/>
      <c r="AR29" s="38"/>
      <c r="AV29" s="71"/>
      <c r="AW29" s="71"/>
      <c r="AX29" s="71"/>
      <c r="AY29" s="38"/>
      <c r="AZ29" s="38"/>
      <c r="BA29" s="38"/>
    </row>
    <row r="30" spans="1:53" ht="15.75" customHeight="1" x14ac:dyDescent="0.25">
      <c r="A30" s="69" t="s">
        <v>4</v>
      </c>
      <c r="B30" s="69">
        <f>[23]Mode_PA_l_t_b1!C7</f>
        <v>-22.434999999999999</v>
      </c>
      <c r="C30" s="69">
        <f>[23]Mode_PA_l_t_b1!D7</f>
        <v>-28.356812442248</v>
      </c>
      <c r="D30" s="69">
        <f>[23]Mode_PA_l_t_b1!E7</f>
        <v>-16.512322761843802</v>
      </c>
      <c r="E30" s="65">
        <f>[23]Mode_PA_l_t_b1!F7</f>
        <v>3.0150000000000001</v>
      </c>
      <c r="F30" s="66">
        <f>[23]Mode_PA_l_t_b1!G7</f>
        <v>-7.44</v>
      </c>
      <c r="G30" s="65">
        <f>[23]Mode_PA_l_t_b1!H7</f>
        <v>578.39</v>
      </c>
      <c r="H30" s="66">
        <f>[23]Mode_PA_l_t_b1!I7</f>
        <v>3.6999999999999999E-13</v>
      </c>
      <c r="I30" s="78">
        <f>[23]Mode_PA_l_t_b1!J7</f>
        <v>2E-12</v>
      </c>
      <c r="J30" s="68" t="str">
        <f>[23]Mode_PA_l_t_b1!K7</f>
        <v>p&lt;0.0001</v>
      </c>
      <c r="K30" s="149">
        <f t="shared" si="10"/>
        <v>5.921812442248001</v>
      </c>
      <c r="L30" s="71"/>
      <c r="M30" s="71"/>
      <c r="N30" s="71"/>
      <c r="O30" s="38"/>
      <c r="P30" s="38"/>
      <c r="Q30" s="38"/>
      <c r="U30" s="71"/>
      <c r="V30" s="71"/>
      <c r="W30" s="71"/>
      <c r="X30" s="38"/>
      <c r="Y30" s="38"/>
      <c r="Z30" s="38"/>
      <c r="AD30" s="71"/>
      <c r="AE30" s="71"/>
      <c r="AF30" s="71"/>
      <c r="AG30" s="38"/>
      <c r="AH30" s="38"/>
      <c r="AI30" s="38"/>
      <c r="AM30" s="71"/>
      <c r="AN30" s="71"/>
      <c r="AO30" s="71"/>
      <c r="AP30" s="38"/>
      <c r="AQ30" s="38"/>
      <c r="AR30" s="38"/>
      <c r="AV30" s="71"/>
      <c r="AW30" s="71"/>
      <c r="AX30" s="71"/>
      <c r="AY30" s="38"/>
      <c r="AZ30" s="38"/>
      <c r="BA30" s="38"/>
    </row>
    <row r="31" spans="1:53" ht="15.75" customHeight="1" x14ac:dyDescent="0.25">
      <c r="A31" s="69" t="s">
        <v>3</v>
      </c>
      <c r="B31" s="69">
        <f>[24]Mode_PA_h_t_b1!C7</f>
        <v>-15.815</v>
      </c>
      <c r="C31" s="69">
        <f>[24]Mode_PA_h_t_b1!D7</f>
        <v>-24.6670214009829</v>
      </c>
      <c r="D31" s="69">
        <f>[24]Mode_PA_h_t_b1!E7</f>
        <v>-6.96242784827054</v>
      </c>
      <c r="E31" s="65">
        <f>[24]Mode_PA_h_t_b1!F7</f>
        <v>4.508</v>
      </c>
      <c r="F31" s="66">
        <f>[24]Mode_PA_h_t_b1!G7</f>
        <v>-3.508</v>
      </c>
      <c r="G31" s="65">
        <f>[24]Mode_PA_h_t_b1!H7</f>
        <v>610.03</v>
      </c>
      <c r="H31" s="78">
        <f>[24]Mode_PA_h_t_b1!I7</f>
        <v>4.8000000000000001E-4</v>
      </c>
      <c r="I31" s="67">
        <f>[24]Mode_PA_h_t_b1!J7</f>
        <v>1E-3</v>
      </c>
      <c r="J31" s="68" t="str">
        <f>[24]Mode_PA_h_t_b1!K7</f>
        <v>p&lt;0.01</v>
      </c>
      <c r="K31" s="149">
        <f t="shared" si="10"/>
        <v>8.8520214009829008</v>
      </c>
      <c r="L31" s="71"/>
      <c r="M31" s="71"/>
      <c r="N31" s="71"/>
      <c r="O31" s="38"/>
      <c r="P31" s="38"/>
      <c r="Q31" s="38"/>
      <c r="U31" s="71"/>
      <c r="V31" s="71"/>
      <c r="W31" s="71"/>
      <c r="X31" s="38"/>
      <c r="Y31" s="38"/>
      <c r="Z31" s="38"/>
      <c r="AD31" s="71"/>
      <c r="AE31" s="71"/>
      <c r="AF31" s="71"/>
      <c r="AG31" s="38"/>
      <c r="AH31" s="38"/>
      <c r="AI31" s="38"/>
      <c r="AM31" s="71"/>
      <c r="AN31" s="71"/>
      <c r="AO31" s="71"/>
      <c r="AP31" s="38"/>
      <c r="AQ31" s="38"/>
      <c r="AR31" s="38"/>
      <c r="AV31" s="71"/>
      <c r="AW31" s="71"/>
      <c r="AX31" s="71"/>
      <c r="AY31" s="38"/>
      <c r="AZ31" s="38"/>
      <c r="BA31" s="38"/>
    </row>
  </sheetData>
  <mergeCells count="1">
    <mergeCell ref="A1:J1"/>
  </mergeCells>
  <conditionalFormatting sqref="H28:I31 H23:I26 H18:I21 H13:I16 H8:I11 H3:I6">
    <cfRule type="cellIs" dxfId="156" priority="15" stopIfTrue="1" operator="lessThan">
      <formula>0.0001</formula>
    </cfRule>
    <cfRule type="cellIs" dxfId="155" priority="16" stopIfTrue="1" operator="lessThan">
      <formula>0.001</formula>
    </cfRule>
    <cfRule type="cellIs" dxfId="154" priority="17" stopIfTrue="1" operator="lessThan">
      <formula>0.05</formula>
    </cfRule>
    <cfRule type="cellIs" dxfId="153" priority="18" stopIfTrue="1" operator="lessThan">
      <formula>0.1</formula>
    </cfRule>
  </conditionalFormatting>
  <conditionalFormatting sqref="J28:J31 J23:J26 J18:J21 J13:J16 J8:J11 J3:J6">
    <cfRule type="containsText" dxfId="152" priority="10" stopIfTrue="1" operator="containsText" text="p&lt;0.0001">
      <formula>NOT(ISERROR(SEARCH("p&lt;0.0001",J3)))</formula>
    </cfRule>
    <cfRule type="containsText" dxfId="151" priority="11" stopIfTrue="1" operator="containsText" text="p&lt;0.001">
      <formula>NOT(ISERROR(SEARCH("p&lt;0.001",J3)))</formula>
    </cfRule>
    <cfRule type="containsText" dxfId="150" priority="12" stopIfTrue="1" operator="containsText" text="p&lt;0.01">
      <formula>NOT(ISERROR(SEARCH("p&lt;0.01",J3)))</formula>
    </cfRule>
    <cfRule type="containsText" dxfId="149" priority="13" stopIfTrue="1" operator="containsText" text="p&lt;0.05">
      <formula>NOT(ISERROR(SEARCH("p&lt;0.05",J3)))</formula>
    </cfRule>
    <cfRule type="containsText" dxfId="148" priority="1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F5:AA33"/>
  <sheetViews>
    <sheetView showGridLines="0" zoomScale="85" zoomScaleNormal="85" workbookViewId="0">
      <selection activeCell="F31" sqref="F31"/>
    </sheetView>
  </sheetViews>
  <sheetFormatPr defaultRowHeight="14.4" x14ac:dyDescent="0.3"/>
  <cols>
    <col min="5" max="5" width="8.88671875" customWidth="1"/>
    <col min="6" max="6" width="19.88671875" bestFit="1" customWidth="1"/>
    <col min="16" max="16" width="3" customWidth="1"/>
    <col min="24" max="24" width="3.6640625" customWidth="1"/>
    <col min="25" max="25" width="3.33203125" customWidth="1"/>
  </cols>
  <sheetData>
    <row r="5" spans="24:27" ht="15" customHeight="1" x14ac:dyDescent="0.3"/>
    <row r="10" spans="24:27" x14ac:dyDescent="0.3">
      <c r="X10" s="5"/>
      <c r="Y10" s="5"/>
      <c r="Z10" s="5"/>
      <c r="AA10" s="5"/>
    </row>
    <row r="31" spans="6:7" x14ac:dyDescent="0.3">
      <c r="F31" s="163"/>
      <c r="G31" s="163"/>
    </row>
    <row r="33" spans="6:6" x14ac:dyDescent="0.3">
      <c r="F33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548E-C93E-4B1F-B8C1-D320C980084B}">
  <sheetPr>
    <pageSetUpPr fitToPage="1"/>
  </sheetPr>
  <dimension ref="A1:AM21"/>
  <sheetViews>
    <sheetView showGridLines="0" zoomScale="111" zoomScaleNormal="111" zoomScaleSheetLayoutView="47" workbookViewId="0">
      <selection activeCell="D16" sqref="D16"/>
    </sheetView>
  </sheetViews>
  <sheetFormatPr defaultColWidth="13.88671875" defaultRowHeight="13.2" x14ac:dyDescent="0.25"/>
  <cols>
    <col min="1" max="1" width="17.109375" style="34" customWidth="1"/>
    <col min="2" max="8" width="11.88671875" style="35" customWidth="1"/>
    <col min="9" max="10" width="11.88671875" style="36" customWidth="1"/>
    <col min="11" max="14" width="11.88671875" style="35" customWidth="1"/>
    <col min="15" max="16" width="8.6640625" style="35" customWidth="1"/>
    <col min="17" max="17" width="11.44140625" style="35" customWidth="1"/>
    <col min="18" max="18" width="11.109375" style="37" customWidth="1"/>
    <col min="19" max="19" width="11.44140625" style="37" customWidth="1"/>
    <col min="20" max="21" width="7.6640625" style="35" customWidth="1"/>
    <col min="22" max="23" width="11.44140625" style="35" customWidth="1"/>
    <col min="24" max="25" width="8.6640625" style="35" customWidth="1"/>
    <col min="26" max="26" width="11.44140625" style="35" customWidth="1"/>
    <col min="27" max="27" width="11.109375" style="37" customWidth="1"/>
    <col min="28" max="28" width="11.44140625" style="37" customWidth="1"/>
    <col min="29" max="30" width="7.6640625" style="35" customWidth="1"/>
    <col min="31" max="32" width="11.44140625" style="35" customWidth="1"/>
    <col min="33" max="33" width="8.6640625" style="35" customWidth="1"/>
    <col min="34" max="35" width="11.44140625" style="35" customWidth="1"/>
    <col min="36" max="36" width="11.109375" style="37" customWidth="1"/>
    <col min="37" max="37" width="11.44140625" style="37" customWidth="1"/>
    <col min="38" max="39" width="11.44140625" style="35" customWidth="1"/>
    <col min="40" max="16384" width="13.88671875" style="38"/>
  </cols>
  <sheetData>
    <row r="1" spans="1:39" s="196" customFormat="1" ht="24" customHeight="1" thickBot="1" x14ac:dyDescent="0.45">
      <c r="A1" s="260" t="s">
        <v>71</v>
      </c>
      <c r="B1" s="260"/>
      <c r="C1" s="260"/>
      <c r="D1" s="260"/>
      <c r="E1" s="260"/>
      <c r="F1" s="260"/>
      <c r="G1" s="260"/>
      <c r="H1" s="260"/>
      <c r="I1" s="260"/>
      <c r="J1" s="260"/>
      <c r="L1" s="261" t="s">
        <v>76</v>
      </c>
      <c r="M1" s="261"/>
      <c r="N1" s="261"/>
      <c r="R1" s="197"/>
      <c r="S1" s="197"/>
      <c r="AA1" s="197"/>
      <c r="AB1" s="197"/>
      <c r="AJ1" s="197"/>
      <c r="AK1" s="197"/>
    </row>
    <row r="2" spans="1:39" s="166" customFormat="1" ht="15.75" customHeight="1" thickTop="1" thickBot="1" x14ac:dyDescent="0.3">
      <c r="A2" s="39" t="s">
        <v>23</v>
      </c>
      <c r="B2" s="39" t="s">
        <v>33</v>
      </c>
      <c r="C2" s="39" t="s">
        <v>7</v>
      </c>
      <c r="D2" s="39" t="s">
        <v>8</v>
      </c>
      <c r="E2" s="39" t="str">
        <f>[13]Mode_PA_l_f0_b0!E1</f>
        <v>std.error</v>
      </c>
      <c r="F2" s="57" t="s">
        <v>6</v>
      </c>
      <c r="G2" s="75" t="s">
        <v>9</v>
      </c>
      <c r="H2" s="58" t="s">
        <v>18</v>
      </c>
      <c r="I2" s="58" t="s">
        <v>40</v>
      </c>
      <c r="J2" s="58" t="s">
        <v>21</v>
      </c>
      <c r="L2" s="39" t="s">
        <v>66</v>
      </c>
      <c r="M2" s="39" t="s">
        <v>67</v>
      </c>
      <c r="N2" s="39" t="s">
        <v>68</v>
      </c>
    </row>
    <row r="3" spans="1:39" s="169" customFormat="1" ht="15.75" customHeight="1" thickTop="1" thickBot="1" x14ac:dyDescent="0.3">
      <c r="A3" s="167" t="s">
        <v>41</v>
      </c>
      <c r="B3" s="167">
        <f>[13]Mode_PA_l_f0_b0!B6</f>
        <v>83.99</v>
      </c>
      <c r="C3" s="168">
        <f>[13]Mode_PA_l_f0_b0!C6</f>
        <v>80.453351074980304</v>
      </c>
      <c r="D3" s="168">
        <f>[13]Mode_PA_l_f0_b0!D6</f>
        <v>87.527230630068203</v>
      </c>
      <c r="E3" s="168">
        <f>[13]Mode_PA_l_f0_b0!E6</f>
        <v>1.623</v>
      </c>
      <c r="F3" s="168">
        <f>[13]Mode_PA_l_f0_b0!F6</f>
        <v>51.753</v>
      </c>
      <c r="G3" s="168">
        <f>[13]Mode_PA_l_f0_b0!G6</f>
        <v>11.97</v>
      </c>
      <c r="H3" s="89">
        <f>[13]Mode_PA_l_f0_b0!H6</f>
        <v>1.9000000000000001E-15</v>
      </c>
      <c r="I3" s="89">
        <f>[13]Mode_PA_l_f0_b0!I6</f>
        <v>1.1999999999999999E-14</v>
      </c>
      <c r="J3" s="87" t="str">
        <f>[13]Mode_PA_l_f0_b0!J6</f>
        <v>p&lt;0.0001</v>
      </c>
      <c r="L3" s="167" t="s">
        <v>41</v>
      </c>
      <c r="M3" s="193">
        <v>0.59399956709452595</v>
      </c>
      <c r="N3" s="193">
        <v>0.94023014769888502</v>
      </c>
    </row>
    <row r="4" spans="1:39" s="169" customFormat="1" ht="15.75" customHeight="1" thickBot="1" x14ac:dyDescent="0.3">
      <c r="A4" s="170" t="s">
        <v>42</v>
      </c>
      <c r="B4" s="170">
        <f>[15]Mode_PA_h_f0_b0!B6</f>
        <v>90.16</v>
      </c>
      <c r="C4" s="171">
        <f>[15]Mode_PA_h_f0_b0!C6</f>
        <v>86.123044297759193</v>
      </c>
      <c r="D4" s="171">
        <f>[15]Mode_PA_h_f0_b0!D6</f>
        <v>94.197953153150294</v>
      </c>
      <c r="E4" s="171">
        <f>[15]Mode_PA_h_f0_b0!E6</f>
        <v>1.8029999999999999</v>
      </c>
      <c r="F4" s="171">
        <f>[15]Mode_PA_h_f0_b0!F6</f>
        <v>50.005000000000003</v>
      </c>
      <c r="G4" s="171">
        <f>[15]Mode_PA_h_f0_b0!G6</f>
        <v>9.65</v>
      </c>
      <c r="H4" s="172">
        <f>[15]Mode_PA_h_f0_b0!H6</f>
        <v>5.6000000000000004E-13</v>
      </c>
      <c r="I4" s="172">
        <f>[15]Mode_PA_h_f0_b0!I6</f>
        <v>1.2999999999999999E-12</v>
      </c>
      <c r="J4" s="182" t="str">
        <f>[15]Mode_PA_h_f0_b0!J6</f>
        <v>p&lt;0.0001</v>
      </c>
      <c r="L4" s="170" t="s">
        <v>42</v>
      </c>
      <c r="M4" s="194">
        <v>0.54939616986129103</v>
      </c>
      <c r="N4" s="194">
        <v>0.90539546314142305</v>
      </c>
    </row>
    <row r="5" spans="1:39" ht="15.75" customHeight="1" thickBot="1" x14ac:dyDescent="0.3">
      <c r="A5" s="173" t="s">
        <v>4</v>
      </c>
      <c r="B5" s="173">
        <f>[17]Mode_PA_l_t_b0!B6</f>
        <v>67.408000000000001</v>
      </c>
      <c r="C5" s="173">
        <f>[17]Mode_PA_l_t_b0!C6</f>
        <v>45.906075043170702</v>
      </c>
      <c r="D5" s="173">
        <f>[17]Mode_PA_l_t_b0!D6</f>
        <v>88.909427524989596</v>
      </c>
      <c r="E5" s="167">
        <f>[17]Mode_PA_l_t_b0!E6</f>
        <v>9.8879999999999999</v>
      </c>
      <c r="F5" s="168">
        <f>[17]Mode_PA_l_t_b0!F6</f>
        <v>6.8170000000000002</v>
      </c>
      <c r="G5" s="168">
        <f>[17]Mode_PA_l_t_b0!G6</f>
        <v>12.22</v>
      </c>
      <c r="H5" s="89">
        <f>[17]Mode_PA_l_t_b0!H6</f>
        <v>1.7E-5</v>
      </c>
      <c r="I5" s="89">
        <f>[17]Mode_PA_l_t_b0!I6</f>
        <v>2.8E-5</v>
      </c>
      <c r="J5" s="183" t="str">
        <f>[17]Mode_PA_l_t_b0!J6</f>
        <v>p&lt;0.0001</v>
      </c>
      <c r="K5" s="38"/>
      <c r="L5" s="173" t="s">
        <v>4</v>
      </c>
      <c r="M5" s="193">
        <v>0.60768973596170595</v>
      </c>
      <c r="N5" s="193">
        <v>0.76784989368498202</v>
      </c>
    </row>
    <row r="6" spans="1:39" ht="15.75" customHeight="1" thickBot="1" x14ac:dyDescent="0.3">
      <c r="A6" s="174" t="s">
        <v>3</v>
      </c>
      <c r="B6" s="174">
        <f>[19]Mode_PA_h_t_b0!B6</f>
        <v>268.214</v>
      </c>
      <c r="C6" s="174">
        <f>[19]Mode_PA_h_t_b0!C6</f>
        <v>187.77360112485999</v>
      </c>
      <c r="D6" s="174">
        <f>[19]Mode_PA_h_t_b0!D6</f>
        <v>348.655341966148</v>
      </c>
      <c r="E6" s="175">
        <f>[19]Mode_PA_h_t_b0!E6</f>
        <v>30.707999999999998</v>
      </c>
      <c r="F6" s="176">
        <f>[19]Mode_PA_h_t_b0!F6</f>
        <v>8.734</v>
      </c>
      <c r="G6" s="176">
        <f>[19]Mode_PA_h_t_b0!G6</f>
        <v>4.71</v>
      </c>
      <c r="H6" s="177">
        <f>[19]Mode_PA_h_t_b0!H6</f>
        <v>4.4000000000000002E-4</v>
      </c>
      <c r="I6" s="177">
        <f>[19]Mode_PA_h_t_b0!I6</f>
        <v>5.1999999999999995E-4</v>
      </c>
      <c r="J6" s="184" t="str">
        <f>[19]Mode_PA_h_t_b0!J6</f>
        <v>p&lt;0.001</v>
      </c>
      <c r="K6" s="38">
        <f>D6-C6</f>
        <v>160.88174084128801</v>
      </c>
      <c r="L6" s="174" t="s">
        <v>3</v>
      </c>
      <c r="M6" s="195">
        <v>0.30551322079765297</v>
      </c>
      <c r="N6" s="195">
        <v>0.84349336767445005</v>
      </c>
    </row>
    <row r="7" spans="1:39" ht="15.75" customHeight="1" thickTop="1" thickBot="1" x14ac:dyDescent="0.3">
      <c r="A7" s="39" t="s">
        <v>24</v>
      </c>
      <c r="B7" s="39" t="str">
        <f t="shared" ref="B7:J7" si="0">B2</f>
        <v>est.</v>
      </c>
      <c r="C7" s="39" t="str">
        <f t="shared" si="0"/>
        <v>2.5% CI</v>
      </c>
      <c r="D7" s="39" t="str">
        <f t="shared" si="0"/>
        <v>97.5% CI</v>
      </c>
      <c r="E7" s="39" t="str">
        <f t="shared" si="0"/>
        <v>std.error</v>
      </c>
      <c r="F7" s="39" t="str">
        <f t="shared" si="0"/>
        <v>t</v>
      </c>
      <c r="G7" s="178" t="str">
        <f t="shared" si="0"/>
        <v>df</v>
      </c>
      <c r="H7" s="40" t="str">
        <f t="shared" si="0"/>
        <v>p. val.</v>
      </c>
      <c r="I7" s="40" t="str">
        <f t="shared" si="0"/>
        <v>p.adj.</v>
      </c>
      <c r="J7" s="40" t="str">
        <f t="shared" si="0"/>
        <v>sig.</v>
      </c>
      <c r="P7" s="37"/>
      <c r="Q7" s="37"/>
      <c r="R7" s="35"/>
      <c r="S7" s="35"/>
      <c r="Y7" s="37"/>
      <c r="Z7" s="37"/>
      <c r="AA7" s="35"/>
      <c r="AB7" s="35"/>
      <c r="AH7" s="37"/>
      <c r="AI7" s="37"/>
      <c r="AJ7" s="35"/>
      <c r="AK7" s="35"/>
      <c r="AL7" s="38"/>
      <c r="AM7" s="38"/>
    </row>
    <row r="8" spans="1:39" ht="15.75" customHeight="1" thickTop="1" thickBot="1" x14ac:dyDescent="0.3">
      <c r="A8" s="167" t="s">
        <v>41</v>
      </c>
      <c r="B8" s="167">
        <f>[13]Mode_PA_l_f0_b0!B7</f>
        <v>86.87</v>
      </c>
      <c r="C8" s="167">
        <f>[13]Mode_PA_l_f0_b0!C7</f>
        <v>83.113022861423701</v>
      </c>
      <c r="D8" s="167">
        <f>[13]Mode_PA_l_f0_b0!D7</f>
        <v>90.627605751172297</v>
      </c>
      <c r="E8" s="168">
        <f>[13]Mode_PA_l_f0_b0!E7</f>
        <v>1.7849999999999999</v>
      </c>
      <c r="F8" s="168">
        <f>[13]Mode_PA_l_f0_b0!F7</f>
        <v>48.677999999999997</v>
      </c>
      <c r="G8" s="168">
        <f>[13]Mode_PA_l_f0_b0!G7</f>
        <v>17.48</v>
      </c>
      <c r="H8" s="89">
        <f>[13]Mode_PA_l_f0_b0!H7</f>
        <v>4.1000000000000001E-20</v>
      </c>
      <c r="I8" s="89">
        <f>[13]Mode_PA_l_f0_b0!I7</f>
        <v>2.6E-18</v>
      </c>
      <c r="J8" s="87" t="str">
        <f>[13]Mode_PA_l_f0_b0!J7</f>
        <v>p&lt;0.0001</v>
      </c>
      <c r="P8" s="37"/>
      <c r="Q8" s="37"/>
      <c r="R8" s="35"/>
      <c r="S8" s="35"/>
      <c r="Y8" s="37"/>
      <c r="Z8" s="37"/>
      <c r="AA8" s="35"/>
      <c r="AB8" s="35"/>
      <c r="AH8" s="37"/>
      <c r="AI8" s="37"/>
      <c r="AJ8" s="35"/>
      <c r="AK8" s="35"/>
      <c r="AL8" s="38"/>
      <c r="AM8" s="38"/>
    </row>
    <row r="9" spans="1:39" ht="15.75" customHeight="1" thickBot="1" x14ac:dyDescent="0.3">
      <c r="A9" s="170" t="s">
        <v>42</v>
      </c>
      <c r="B9" s="170">
        <f>[15]Mode_PA_h_f0_b0!B7</f>
        <v>89.887</v>
      </c>
      <c r="C9" s="170">
        <f>[15]Mode_PA_h_f0_b0!C7</f>
        <v>85.459720267774003</v>
      </c>
      <c r="D9" s="170">
        <f>[15]Mode_PA_h_f0_b0!D7</f>
        <v>94.315126074610902</v>
      </c>
      <c r="E9" s="171">
        <f>[15]Mode_PA_h_f0_b0!E7</f>
        <v>2.1070000000000002</v>
      </c>
      <c r="F9" s="171">
        <f>[15]Mode_PA_h_f0_b0!F7</f>
        <v>42.664000000000001</v>
      </c>
      <c r="G9" s="171">
        <f>[15]Mode_PA_h_f0_b0!G7</f>
        <v>17.920000000000002</v>
      </c>
      <c r="H9" s="172">
        <f>[15]Mode_PA_h_f0_b0!H7</f>
        <v>1.8000000000000001E-19</v>
      </c>
      <c r="I9" s="172">
        <f>[15]Mode_PA_h_f0_b0!I7</f>
        <v>5.6999999999999997E-18</v>
      </c>
      <c r="J9" s="182" t="str">
        <f>[15]Mode_PA_h_f0_b0!J7</f>
        <v>p&lt;0.0001</v>
      </c>
      <c r="P9" s="37"/>
      <c r="Q9" s="37"/>
      <c r="R9" s="35"/>
      <c r="S9" s="35"/>
      <c r="Y9" s="37"/>
      <c r="Z9" s="37"/>
      <c r="AA9" s="35"/>
      <c r="AB9" s="35"/>
      <c r="AH9" s="37"/>
      <c r="AI9" s="37"/>
      <c r="AJ9" s="35"/>
      <c r="AK9" s="35"/>
      <c r="AL9" s="38"/>
      <c r="AM9" s="38"/>
    </row>
    <row r="10" spans="1:39" ht="15.75" customHeight="1" thickBot="1" x14ac:dyDescent="0.3">
      <c r="A10" s="173" t="s">
        <v>4</v>
      </c>
      <c r="B10" s="173">
        <f>[17]Mode_PA_l_t_b0!B7</f>
        <v>81.248999999999995</v>
      </c>
      <c r="C10" s="173">
        <f>[17]Mode_PA_l_t_b0!C7</f>
        <v>51.745674146421401</v>
      </c>
      <c r="D10" s="173">
        <f>[17]Mode_PA_l_t_b0!D7</f>
        <v>110.7528902249</v>
      </c>
      <c r="E10" s="168">
        <f>[17]Mode_PA_l_t_b0!E7</f>
        <v>14.737</v>
      </c>
      <c r="F10" s="168">
        <f>[17]Mode_PA_l_t_b0!F7</f>
        <v>5.5129999999999999</v>
      </c>
      <c r="G10" s="168">
        <f>[17]Mode_PA_l_t_b0!G7</f>
        <v>57.6</v>
      </c>
      <c r="H10" s="89">
        <f>[17]Mode_PA_l_t_b0!H7</f>
        <v>8.7000000000000003E-7</v>
      </c>
      <c r="I10" s="89">
        <f>[17]Mode_PA_l_t_b0!I7</f>
        <v>1.7E-6</v>
      </c>
      <c r="J10" s="183" t="str">
        <f>[17]Mode_PA_l_t_b0!J7</f>
        <v>p&lt;0.0001</v>
      </c>
      <c r="P10" s="37"/>
      <c r="Q10" s="37"/>
      <c r="R10" s="35"/>
      <c r="S10" s="35"/>
      <c r="Y10" s="37"/>
      <c r="Z10" s="37"/>
      <c r="AA10" s="35"/>
      <c r="AB10" s="35"/>
      <c r="AH10" s="37"/>
      <c r="AI10" s="37"/>
      <c r="AJ10" s="35"/>
      <c r="AK10" s="35"/>
      <c r="AL10" s="38"/>
      <c r="AM10" s="38"/>
    </row>
    <row r="11" spans="1:39" ht="15.75" customHeight="1" thickBot="1" x14ac:dyDescent="0.3">
      <c r="A11" s="174" t="s">
        <v>3</v>
      </c>
      <c r="B11" s="174">
        <f>[19]Mode_PA_h_t_b0!B7</f>
        <v>218.333</v>
      </c>
      <c r="C11" s="174">
        <f>[19]Mode_PA_h_t_b0!C7</f>
        <v>137.65678545155001</v>
      </c>
      <c r="D11" s="174">
        <f>[19]Mode_PA_h_t_b0!D7</f>
        <v>299.00823125467798</v>
      </c>
      <c r="E11" s="176">
        <f>[19]Mode_PA_h_t_b0!E7</f>
        <v>34.774000000000001</v>
      </c>
      <c r="F11" s="176">
        <f>[19]Mode_PA_h_t_b0!F7</f>
        <v>6.2789999999999999</v>
      </c>
      <c r="G11" s="176">
        <f>[19]Mode_PA_h_t_b0!G7</f>
        <v>7.73</v>
      </c>
      <c r="H11" s="89">
        <f>[19]Mode_PA_h_t_b0!H7</f>
        <v>2.7E-4</v>
      </c>
      <c r="I11" s="89">
        <f>[19]Mode_PA_h_t_b0!I7</f>
        <v>3.8999999999999999E-4</v>
      </c>
      <c r="J11" s="184" t="str">
        <f>[19]Mode_PA_h_t_b0!J7</f>
        <v>p&lt;0.001</v>
      </c>
      <c r="K11" s="38">
        <f>D11-C11</f>
        <v>161.35144580312797</v>
      </c>
      <c r="P11" s="37"/>
      <c r="Q11" s="37"/>
      <c r="R11" s="35"/>
      <c r="S11" s="35"/>
      <c r="Y11" s="37"/>
      <c r="Z11" s="37"/>
      <c r="AA11" s="35"/>
      <c r="AB11" s="35"/>
      <c r="AH11" s="37"/>
      <c r="AI11" s="37"/>
      <c r="AJ11" s="35"/>
      <c r="AK11" s="35"/>
      <c r="AL11" s="38"/>
      <c r="AM11" s="38"/>
    </row>
    <row r="12" spans="1:39" ht="15.75" customHeight="1" thickTop="1" thickBot="1" x14ac:dyDescent="0.3">
      <c r="A12" s="39" t="s">
        <v>25</v>
      </c>
      <c r="B12" s="39" t="str">
        <f t="shared" ref="B12:J12" si="1">B2</f>
        <v>est.</v>
      </c>
      <c r="C12" s="39" t="str">
        <f t="shared" si="1"/>
        <v>2.5% CI</v>
      </c>
      <c r="D12" s="39" t="str">
        <f t="shared" si="1"/>
        <v>97.5% CI</v>
      </c>
      <c r="E12" s="39" t="str">
        <f t="shared" si="1"/>
        <v>std.error</v>
      </c>
      <c r="F12" s="39" t="str">
        <f t="shared" si="1"/>
        <v>t</v>
      </c>
      <c r="G12" s="39" t="str">
        <f t="shared" si="1"/>
        <v>df</v>
      </c>
      <c r="H12" s="40" t="str">
        <f t="shared" si="1"/>
        <v>p. val.</v>
      </c>
      <c r="I12" s="40" t="str">
        <f t="shared" si="1"/>
        <v>p.adj.</v>
      </c>
      <c r="J12" s="40" t="str">
        <f t="shared" si="1"/>
        <v>sig.</v>
      </c>
      <c r="P12" s="37"/>
      <c r="Q12" s="37"/>
      <c r="R12" s="35"/>
      <c r="S12" s="35"/>
      <c r="Y12" s="37"/>
      <c r="Z12" s="37"/>
      <c r="AA12" s="35"/>
      <c r="AB12" s="35"/>
      <c r="AH12" s="37"/>
      <c r="AI12" s="37"/>
      <c r="AJ12" s="35"/>
      <c r="AK12" s="35"/>
      <c r="AL12" s="38"/>
      <c r="AM12" s="38"/>
    </row>
    <row r="13" spans="1:39" ht="15.75" customHeight="1" thickTop="1" thickBot="1" x14ac:dyDescent="0.3">
      <c r="A13" s="167" t="s">
        <v>41</v>
      </c>
      <c r="B13" s="167">
        <f>[13]Mode_PA_l_f0_b0!B8</f>
        <v>84.706999999999994</v>
      </c>
      <c r="C13" s="167">
        <f>[13]Mode_PA_l_f0_b0!C8</f>
        <v>81.133638575482294</v>
      </c>
      <c r="D13" s="167">
        <f>[13]Mode_PA_l_f0_b0!D8</f>
        <v>88.279591427499099</v>
      </c>
      <c r="E13" s="168">
        <f>[13]Mode_PA_l_f0_b0!E8</f>
        <v>1.6519999999999999</v>
      </c>
      <c r="F13" s="168">
        <f>[13]Mode_PA_l_f0_b0!F8</f>
        <v>51.277000000000001</v>
      </c>
      <c r="G13" s="168">
        <f>[13]Mode_PA_l_f0_b0!G8</f>
        <v>12.85</v>
      </c>
      <c r="H13" s="179">
        <f>[13]Mode_PA_l_f0_b0!H8</f>
        <v>2.9999999999999999E-16</v>
      </c>
      <c r="I13" s="179">
        <f>[13]Mode_PA_l_f0_b0!I8</f>
        <v>6.3999999999999999E-15</v>
      </c>
      <c r="J13" s="87" t="str">
        <f>[13]Mode_PA_l_f0_b0!J8</f>
        <v>p&lt;0.0001</v>
      </c>
      <c r="P13" s="37"/>
      <c r="Q13" s="37"/>
      <c r="R13" s="35"/>
      <c r="S13" s="35"/>
      <c r="Y13" s="37"/>
      <c r="Z13" s="37"/>
      <c r="AA13" s="35"/>
      <c r="AB13" s="35"/>
      <c r="AH13" s="37"/>
      <c r="AI13" s="37"/>
      <c r="AJ13" s="35"/>
      <c r="AK13" s="35"/>
      <c r="AL13" s="38"/>
      <c r="AM13" s="38"/>
    </row>
    <row r="14" spans="1:39" ht="15.75" customHeight="1" thickBot="1" x14ac:dyDescent="0.3">
      <c r="A14" s="170" t="s">
        <v>42</v>
      </c>
      <c r="B14" s="170">
        <f>[15]Mode_PA_h_f0_b0!B8</f>
        <v>93.736999999999995</v>
      </c>
      <c r="C14" s="170">
        <f>[15]Mode_PA_h_f0_b0!C8</f>
        <v>89.644798852053697</v>
      </c>
      <c r="D14" s="170">
        <f>[15]Mode_PA_h_f0_b0!D8</f>
        <v>97.829742545249303</v>
      </c>
      <c r="E14" s="171">
        <f>[15]Mode_PA_h_f0_b0!E8</f>
        <v>1.8560000000000001</v>
      </c>
      <c r="F14" s="171">
        <f>[15]Mode_PA_h_f0_b0!F8</f>
        <v>50.515000000000001</v>
      </c>
      <c r="G14" s="171">
        <f>[15]Mode_PA_h_f0_b0!G8</f>
        <v>10.82</v>
      </c>
      <c r="H14" s="180">
        <f>[15]Mode_PA_h_f0_b0!H8</f>
        <v>3.4E-14</v>
      </c>
      <c r="I14" s="180">
        <f>[15]Mode_PA_h_f0_b0!I8</f>
        <v>1.1E-13</v>
      </c>
      <c r="J14" s="182" t="str">
        <f>[15]Mode_PA_h_f0_b0!J8</f>
        <v>p&lt;0.0001</v>
      </c>
      <c r="P14" s="37"/>
      <c r="Q14" s="37"/>
      <c r="R14" s="35"/>
      <c r="S14" s="35"/>
      <c r="Y14" s="37"/>
      <c r="Z14" s="37"/>
      <c r="AA14" s="35"/>
      <c r="AB14" s="35"/>
      <c r="AH14" s="37"/>
      <c r="AI14" s="37"/>
      <c r="AJ14" s="35"/>
      <c r="AK14" s="35"/>
      <c r="AL14" s="38"/>
      <c r="AM14" s="38"/>
    </row>
    <row r="15" spans="1:39" ht="15.75" customHeight="1" thickBot="1" x14ac:dyDescent="0.3">
      <c r="A15" s="173" t="s">
        <v>4</v>
      </c>
      <c r="B15" s="173">
        <f>[17]Mode_PA_l_t_b0!B8</f>
        <v>63.344000000000001</v>
      </c>
      <c r="C15" s="173">
        <f>[17]Mode_PA_l_t_b0!C8</f>
        <v>40.548764552006098</v>
      </c>
      <c r="D15" s="173">
        <f>[17]Mode_PA_l_t_b0!D8</f>
        <v>86.140197086469001</v>
      </c>
      <c r="E15" s="168">
        <f>[17]Mode_PA_l_t_b0!E8</f>
        <v>10.831</v>
      </c>
      <c r="F15" s="168">
        <f>[17]Mode_PA_l_t_b0!F8</f>
        <v>5.8490000000000002</v>
      </c>
      <c r="G15" s="168">
        <f>[17]Mode_PA_l_t_b0!G8</f>
        <v>17.55</v>
      </c>
      <c r="H15" s="179">
        <f>[17]Mode_PA_l_t_b0!H8</f>
        <v>1.7E-5</v>
      </c>
      <c r="I15" s="179">
        <f>[17]Mode_PA_l_t_b0!I8</f>
        <v>2.8E-5</v>
      </c>
      <c r="J15" s="183" t="str">
        <f>[17]Mode_PA_l_t_b0!J8</f>
        <v>p&lt;0.0001</v>
      </c>
      <c r="P15" s="37"/>
      <c r="Q15" s="37"/>
      <c r="R15" s="35"/>
      <c r="S15" s="35"/>
      <c r="Y15" s="37"/>
      <c r="Z15" s="37"/>
      <c r="AA15" s="35"/>
      <c r="AB15" s="35"/>
      <c r="AH15" s="37"/>
      <c r="AI15" s="37"/>
      <c r="AJ15" s="35"/>
      <c r="AK15" s="35"/>
      <c r="AL15" s="38"/>
      <c r="AM15" s="38"/>
    </row>
    <row r="16" spans="1:39" ht="15.75" customHeight="1" thickBot="1" x14ac:dyDescent="0.3">
      <c r="A16" s="174" t="s">
        <v>3</v>
      </c>
      <c r="B16" s="174">
        <f>[19]Mode_PA_h_t_b0!B8</f>
        <v>267.35399999999998</v>
      </c>
      <c r="C16" s="174">
        <f>[19]Mode_PA_h_t_b0!C8</f>
        <v>187.31944529171901</v>
      </c>
      <c r="D16" s="174">
        <f>[19]Mode_PA_h_t_b0!D8</f>
        <v>347.38760276514603</v>
      </c>
      <c r="E16" s="176">
        <f>[19]Mode_PA_h_t_b0!E8</f>
        <v>31.405000000000001</v>
      </c>
      <c r="F16" s="176">
        <f>[19]Mode_PA_h_t_b0!F8</f>
        <v>8.5129999999999999</v>
      </c>
      <c r="G16" s="176">
        <f>[19]Mode_PA_h_t_b0!G8</f>
        <v>5.15</v>
      </c>
      <c r="H16" s="181">
        <f>[19]Mode_PA_h_t_b0!H8</f>
        <v>3.2000000000000003E-4</v>
      </c>
      <c r="I16" s="181">
        <f>[19]Mode_PA_h_t_b0!I8</f>
        <v>4.6000000000000001E-4</v>
      </c>
      <c r="J16" s="184" t="str">
        <f>[19]Mode_PA_h_t_b0!J8</f>
        <v>p&lt;0.001</v>
      </c>
      <c r="K16" s="38">
        <f>D16-C16</f>
        <v>160.06815747342702</v>
      </c>
      <c r="P16" s="37"/>
      <c r="Q16" s="37"/>
      <c r="R16" s="35"/>
      <c r="S16" s="35"/>
      <c r="Y16" s="37"/>
      <c r="Z16" s="37"/>
      <c r="AA16" s="35"/>
      <c r="AB16" s="35"/>
      <c r="AH16" s="37"/>
      <c r="AI16" s="37"/>
      <c r="AJ16" s="35"/>
      <c r="AK16" s="35"/>
      <c r="AL16" s="38"/>
      <c r="AM16" s="38"/>
    </row>
    <row r="17" spans="1:39" ht="15.75" customHeight="1" thickTop="1" thickBot="1" x14ac:dyDescent="0.3">
      <c r="A17" s="39" t="s">
        <v>26</v>
      </c>
      <c r="B17" s="39" t="str">
        <f t="shared" ref="B17:J17" si="2">B2</f>
        <v>est.</v>
      </c>
      <c r="C17" s="39" t="str">
        <f t="shared" si="2"/>
        <v>2.5% CI</v>
      </c>
      <c r="D17" s="39" t="str">
        <f t="shared" si="2"/>
        <v>97.5% CI</v>
      </c>
      <c r="E17" s="39" t="str">
        <f t="shared" si="2"/>
        <v>std.error</v>
      </c>
      <c r="F17" s="39" t="str">
        <f t="shared" si="2"/>
        <v>t</v>
      </c>
      <c r="G17" s="39" t="str">
        <f t="shared" si="2"/>
        <v>df</v>
      </c>
      <c r="H17" s="40" t="str">
        <f t="shared" si="2"/>
        <v>p. val.</v>
      </c>
      <c r="I17" s="40" t="str">
        <f t="shared" si="2"/>
        <v>p.adj.</v>
      </c>
      <c r="J17" s="40" t="str">
        <f t="shared" si="2"/>
        <v>sig.</v>
      </c>
      <c r="P17" s="37"/>
      <c r="Q17" s="37"/>
      <c r="R17" s="35"/>
      <c r="S17" s="35"/>
      <c r="Y17" s="37"/>
      <c r="Z17" s="37"/>
      <c r="AA17" s="35"/>
      <c r="AB17" s="35"/>
      <c r="AH17" s="37"/>
      <c r="AI17" s="37"/>
      <c r="AJ17" s="35"/>
      <c r="AK17" s="35"/>
      <c r="AL17" s="38"/>
      <c r="AM17" s="38"/>
    </row>
    <row r="18" spans="1:39" ht="15.75" customHeight="1" thickTop="1" thickBot="1" x14ac:dyDescent="0.3">
      <c r="A18" s="167" t="s">
        <v>41</v>
      </c>
      <c r="B18" s="167">
        <f>[13]Mode_PA_l_f0_b0!B9</f>
        <v>86.724000000000004</v>
      </c>
      <c r="C18" s="167">
        <f>[13]Mode_PA_l_f0_b0!C9</f>
        <v>83.164863235291506</v>
      </c>
      <c r="D18" s="167">
        <f>[13]Mode_PA_l_f0_b0!D9</f>
        <v>90.282187472808502</v>
      </c>
      <c r="E18" s="168">
        <f>[13]Mode_PA_l_f0_b0!E9</f>
        <v>1.641</v>
      </c>
      <c r="F18" s="168">
        <f>[13]Mode_PA_l_f0_b0!F9</f>
        <v>52.862000000000002</v>
      </c>
      <c r="G18" s="168">
        <f>[13]Mode_PA_l_f0_b0!G9</f>
        <v>12.5</v>
      </c>
      <c r="H18" s="179">
        <f>[13]Mode_PA_l_f0_b0!H9</f>
        <v>4.5000000000000002E-16</v>
      </c>
      <c r="I18" s="179">
        <f>[13]Mode_PA_l_f0_b0!I9</f>
        <v>7.2000000000000002E-15</v>
      </c>
      <c r="J18" s="87" t="str">
        <f>[13]Mode_PA_l_f0_b0!J9</f>
        <v>p&lt;0.0001</v>
      </c>
      <c r="P18" s="37"/>
      <c r="Q18" s="37"/>
      <c r="R18" s="35"/>
      <c r="S18" s="35"/>
      <c r="Y18" s="37"/>
      <c r="Z18" s="37"/>
      <c r="AA18" s="35"/>
      <c r="AB18" s="35"/>
      <c r="AH18" s="37"/>
      <c r="AI18" s="37"/>
      <c r="AJ18" s="35"/>
      <c r="AK18" s="35"/>
      <c r="AL18" s="38"/>
      <c r="AM18" s="38"/>
    </row>
    <row r="19" spans="1:39" ht="15.75" customHeight="1" thickBot="1" x14ac:dyDescent="0.3">
      <c r="A19" s="170" t="s">
        <v>42</v>
      </c>
      <c r="B19" s="170">
        <f>[15]Mode_PA_h_f0_b0!B9</f>
        <v>93.728999999999999</v>
      </c>
      <c r="C19" s="170">
        <f>[15]Mode_PA_h_f0_b0!C9</f>
        <v>89.656987762284302</v>
      </c>
      <c r="D19" s="170">
        <f>[15]Mode_PA_h_f0_b0!D9</f>
        <v>97.800438525461999</v>
      </c>
      <c r="E19" s="171">
        <f>[15]Mode_PA_h_f0_b0!E9</f>
        <v>1.8360000000000001</v>
      </c>
      <c r="F19" s="171">
        <f>[15]Mode_PA_h_f0_b0!F9</f>
        <v>51.037999999999997</v>
      </c>
      <c r="G19" s="171">
        <f>[15]Mode_PA_h_f0_b0!G9</f>
        <v>10.38</v>
      </c>
      <c r="H19" s="180">
        <f>[15]Mode_PA_h_f0_b0!H9</f>
        <v>8.3999999999999995E-14</v>
      </c>
      <c r="I19" s="180">
        <f>[15]Mode_PA_h_f0_b0!I9</f>
        <v>2.2999999999999998E-13</v>
      </c>
      <c r="J19" s="182" t="str">
        <f>[15]Mode_PA_h_f0_b0!J9</f>
        <v>p&lt;0.0001</v>
      </c>
      <c r="P19" s="37"/>
      <c r="Q19" s="37"/>
      <c r="R19" s="35"/>
      <c r="S19" s="35"/>
      <c r="Y19" s="37"/>
      <c r="Z19" s="37"/>
      <c r="AA19" s="35"/>
      <c r="AB19" s="35"/>
      <c r="AH19" s="37"/>
      <c r="AI19" s="37"/>
      <c r="AJ19" s="35"/>
      <c r="AK19" s="35"/>
      <c r="AL19" s="38"/>
      <c r="AM19" s="38"/>
    </row>
    <row r="20" spans="1:39" ht="15.75" customHeight="1" thickBot="1" x14ac:dyDescent="0.3">
      <c r="A20" s="173" t="s">
        <v>4</v>
      </c>
      <c r="B20" s="173">
        <f>[17]Mode_PA_l_t_b0!B9</f>
        <v>65.388999999999996</v>
      </c>
      <c r="C20" s="173">
        <f>[17]Mode_PA_l_t_b0!C9</f>
        <v>43.096406186970398</v>
      </c>
      <c r="D20" s="173">
        <f>[17]Mode_PA_l_t_b0!D9</f>
        <v>87.6806831178435</v>
      </c>
      <c r="E20" s="168">
        <f>[17]Mode_PA_l_t_b0!E9</f>
        <v>10.481</v>
      </c>
      <c r="F20" s="168">
        <f>[17]Mode_PA_l_t_b0!F9</f>
        <v>6.2389999999999999</v>
      </c>
      <c r="G20" s="168">
        <f>[17]Mode_PA_l_t_b0!G9</f>
        <v>15.37</v>
      </c>
      <c r="H20" s="179">
        <f>[17]Mode_PA_l_t_b0!H9</f>
        <v>1.4E-5</v>
      </c>
      <c r="I20" s="179">
        <f>[17]Mode_PA_l_t_b0!I9</f>
        <v>2.5999999999999998E-5</v>
      </c>
      <c r="J20" s="183" t="str">
        <f>[17]Mode_PA_l_t_b0!J9</f>
        <v>p&lt;0.0001</v>
      </c>
      <c r="P20" s="37"/>
      <c r="Q20" s="37"/>
      <c r="R20" s="35"/>
      <c r="S20" s="35"/>
      <c r="Y20" s="37"/>
      <c r="Z20" s="37"/>
      <c r="AA20" s="35"/>
      <c r="AB20" s="35"/>
      <c r="AH20" s="37"/>
      <c r="AI20" s="37"/>
      <c r="AJ20" s="35"/>
      <c r="AK20" s="35"/>
      <c r="AL20" s="38"/>
      <c r="AM20" s="38"/>
    </row>
    <row r="21" spans="1:39" ht="15.75" customHeight="1" x14ac:dyDescent="0.25">
      <c r="A21" s="174" t="s">
        <v>3</v>
      </c>
      <c r="B21" s="174">
        <f>[19]Mode_PA_h_t_b0!B9</f>
        <v>267.60899999999998</v>
      </c>
      <c r="C21" s="174">
        <f>[19]Mode_PA_h_t_b0!C9</f>
        <v>187.45073539710501</v>
      </c>
      <c r="D21" s="174">
        <f>[19]Mode_PA_h_t_b0!D9</f>
        <v>347.76631975450999</v>
      </c>
      <c r="E21" s="176">
        <f>[19]Mode_PA_h_t_b0!E9</f>
        <v>31.145</v>
      </c>
      <c r="F21" s="176">
        <f>[19]Mode_PA_h_t_b0!F9</f>
        <v>8.5920000000000005</v>
      </c>
      <c r="G21" s="176">
        <f>[19]Mode_PA_h_t_b0!G9</f>
        <v>4.9800000000000004</v>
      </c>
      <c r="H21" s="181">
        <f>[19]Mode_PA_h_t_b0!H9</f>
        <v>3.6000000000000002E-4</v>
      </c>
      <c r="I21" s="181">
        <f>[19]Mode_PA_h_t_b0!I9</f>
        <v>5.0000000000000001E-4</v>
      </c>
      <c r="J21" s="184" t="str">
        <f>[19]Mode_PA_h_t_b0!J9</f>
        <v>p&lt;0.001</v>
      </c>
      <c r="K21" s="38">
        <f>D21-C21</f>
        <v>160.31558435740499</v>
      </c>
      <c r="P21" s="37"/>
      <c r="Q21" s="37"/>
      <c r="R21" s="35"/>
      <c r="S21" s="35"/>
      <c r="Y21" s="37"/>
      <c r="Z21" s="37"/>
      <c r="AA21" s="35"/>
      <c r="AB21" s="35"/>
      <c r="AH21" s="37"/>
      <c r="AI21" s="37"/>
      <c r="AJ21" s="35"/>
      <c r="AK21" s="35"/>
      <c r="AL21" s="38"/>
      <c r="AM21" s="38"/>
    </row>
  </sheetData>
  <mergeCells count="2">
    <mergeCell ref="A1:J1"/>
    <mergeCell ref="L1:N1"/>
  </mergeCells>
  <conditionalFormatting sqref="H18:I21 H3:I6 H8:I10 H13:I16">
    <cfRule type="cellIs" dxfId="147" priority="19" stopIfTrue="1" operator="lessThan">
      <formula>0.0001</formula>
    </cfRule>
    <cfRule type="cellIs" dxfId="146" priority="20" stopIfTrue="1" operator="lessThan">
      <formula>0.001</formula>
    </cfRule>
    <cfRule type="cellIs" dxfId="145" priority="21" stopIfTrue="1" operator="lessThan">
      <formula>0.05</formula>
    </cfRule>
    <cfRule type="cellIs" dxfId="144" priority="22" stopIfTrue="1" operator="lessThan">
      <formula>0.1</formula>
    </cfRule>
  </conditionalFormatting>
  <conditionalFormatting sqref="J18:J21 J3:J6 J8:J11 J13:J16">
    <cfRule type="containsText" dxfId="143" priority="14" stopIfTrue="1" operator="containsText" text="p&lt;0.0001">
      <formula>NOT(ISERROR(SEARCH("p&lt;0.0001",J3)))</formula>
    </cfRule>
    <cfRule type="containsText" dxfId="142" priority="15" stopIfTrue="1" operator="containsText" text="p&lt;0.001">
      <formula>NOT(ISERROR(SEARCH("p&lt;0.001",J3)))</formula>
    </cfRule>
    <cfRule type="containsText" dxfId="141" priority="16" stopIfTrue="1" operator="containsText" text="p&lt;0.01">
      <formula>NOT(ISERROR(SEARCH("p&lt;0.01",J3)))</formula>
    </cfRule>
    <cfRule type="containsText" dxfId="140" priority="17" stopIfTrue="1" operator="containsText" text="p&lt;0.05">
      <formula>NOT(ISERROR(SEARCH("p&lt;0.05",J3)))</formula>
    </cfRule>
    <cfRule type="containsText" dxfId="139" priority="18" stopIfTrue="1" operator="containsText" text="p&lt;0.1">
      <formula>NOT(ISERROR(SEARCH("p&lt;0.1",J3)))</formula>
    </cfRule>
  </conditionalFormatting>
  <conditionalFormatting sqref="H11:I11">
    <cfRule type="cellIs" dxfId="138" priority="1" stopIfTrue="1" operator="lessThan">
      <formula>0.0001</formula>
    </cfRule>
    <cfRule type="cellIs" dxfId="137" priority="2" stopIfTrue="1" operator="lessThan">
      <formula>0.001</formula>
    </cfRule>
    <cfRule type="cellIs" dxfId="136" priority="3" stopIfTrue="1" operator="lessThan">
      <formula>0.05</formula>
    </cfRule>
    <cfRule type="cellIs" dxfId="135" priority="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31"/>
  <sheetViews>
    <sheetView showGridLines="0" zoomScaleNormal="100" zoomScaleSheetLayoutView="40" workbookViewId="0">
      <selection activeCell="B26" sqref="B26"/>
    </sheetView>
  </sheetViews>
  <sheetFormatPr defaultColWidth="13.88671875" defaultRowHeight="13.2" x14ac:dyDescent="0.25"/>
  <cols>
    <col min="1" max="1" width="17.109375" style="73" customWidth="1"/>
    <col min="2" max="3" width="11.88671875" style="73" customWidth="1"/>
    <col min="4" max="10" width="11.88671875" style="38" customWidth="1"/>
    <col min="11" max="11" width="9.6640625" style="74" customWidth="1"/>
    <col min="12" max="12" width="11.44140625" style="74" customWidth="1"/>
    <col min="13" max="14" width="7.6640625" style="38" customWidth="1"/>
    <col min="15" max="16" width="11.44140625" style="38" customWidth="1"/>
    <col min="17" max="18" width="8.6640625" style="38" customWidth="1"/>
    <col min="19" max="19" width="11.44140625" style="71" customWidth="1"/>
    <col min="20" max="20" width="9.6640625" style="71" customWidth="1"/>
    <col min="21" max="21" width="11.44140625" style="71" customWidth="1"/>
    <col min="22" max="23" width="7.6640625" style="38" customWidth="1"/>
    <col min="24" max="25" width="11.44140625" style="38" customWidth="1"/>
    <col min="26" max="27" width="8.6640625" style="38" customWidth="1"/>
    <col min="28" max="28" width="11.44140625" style="71" customWidth="1"/>
    <col min="29" max="29" width="9.6640625" style="71" customWidth="1"/>
    <col min="30" max="30" width="11.44140625" style="71" customWidth="1"/>
    <col min="31" max="32" width="7.6640625" style="38" customWidth="1"/>
    <col min="33" max="34" width="11.44140625" style="38" customWidth="1"/>
    <col min="35" max="36" width="8.6640625" style="38" customWidth="1"/>
    <col min="37" max="37" width="11.44140625" style="71" customWidth="1"/>
    <col min="38" max="38" width="9.6640625" style="71" customWidth="1"/>
    <col min="39" max="39" width="11.44140625" style="71" customWidth="1"/>
    <col min="40" max="41" width="7.6640625" style="38" customWidth="1"/>
    <col min="42" max="43" width="11.44140625" style="38" customWidth="1"/>
    <col min="44" max="45" width="8.6640625" style="38" customWidth="1"/>
    <col min="46" max="46" width="11.44140625" style="71" customWidth="1"/>
    <col min="47" max="47" width="9.6640625" style="71" customWidth="1"/>
    <col min="48" max="48" width="11.44140625" style="71" customWidth="1"/>
    <col min="49" max="50" width="7.6640625" style="38" customWidth="1"/>
    <col min="51" max="52" width="11.44140625" style="38" customWidth="1"/>
    <col min="53" max="54" width="8.6640625" style="38" customWidth="1"/>
    <col min="55" max="55" width="11.44140625" style="71" customWidth="1"/>
    <col min="56" max="56" width="9.6640625" style="71" customWidth="1"/>
    <col min="57" max="57" width="11.44140625" style="71" customWidth="1"/>
    <col min="58" max="59" width="11.44140625" style="38" customWidth="1"/>
    <col min="60" max="16384" width="13.88671875" style="38"/>
  </cols>
  <sheetData>
    <row r="1" spans="1:57" s="199" customFormat="1" ht="24" customHeight="1" thickBot="1" x14ac:dyDescent="0.45">
      <c r="A1" s="260" t="s">
        <v>72</v>
      </c>
      <c r="B1" s="260"/>
      <c r="C1" s="260"/>
      <c r="D1" s="260"/>
      <c r="E1" s="260"/>
      <c r="F1" s="260"/>
      <c r="G1" s="260"/>
      <c r="H1" s="260"/>
      <c r="I1" s="260"/>
      <c r="J1" s="260"/>
      <c r="K1" s="198"/>
      <c r="L1" s="198"/>
      <c r="S1" s="200"/>
      <c r="T1" s="200"/>
      <c r="U1" s="200"/>
      <c r="AB1" s="200"/>
      <c r="AC1" s="200"/>
      <c r="AD1" s="200"/>
      <c r="AK1" s="200"/>
      <c r="AL1" s="200"/>
      <c r="AM1" s="200"/>
      <c r="AT1" s="200"/>
      <c r="AU1" s="200"/>
      <c r="AV1" s="200"/>
      <c r="BC1" s="200"/>
      <c r="BD1" s="200"/>
      <c r="BE1" s="200"/>
    </row>
    <row r="2" spans="1:57" s="166" customFormat="1" ht="15.75" customHeight="1" thickTop="1" thickBot="1" x14ac:dyDescent="0.3">
      <c r="A2" s="57" t="s">
        <v>79</v>
      </c>
      <c r="B2" s="39" t="s">
        <v>33</v>
      </c>
      <c r="C2" s="39" t="s">
        <v>7</v>
      </c>
      <c r="D2" s="39" t="s">
        <v>8</v>
      </c>
      <c r="E2" s="39" t="str">
        <f>[13]Mode_PA_l_f0_b0!E1</f>
        <v>std.error</v>
      </c>
      <c r="F2" s="57" t="s">
        <v>6</v>
      </c>
      <c r="G2" s="75" t="s">
        <v>9</v>
      </c>
      <c r="H2" s="58" t="s">
        <v>18</v>
      </c>
      <c r="I2" s="58" t="s">
        <v>40</v>
      </c>
      <c r="J2" s="58" t="s">
        <v>21</v>
      </c>
      <c r="K2" s="148" t="s">
        <v>64</v>
      </c>
    </row>
    <row r="3" spans="1:57" s="166" customFormat="1" ht="15.75" customHeight="1" thickTop="1" thickBot="1" x14ac:dyDescent="0.3">
      <c r="A3" s="253" t="s">
        <v>41</v>
      </c>
      <c r="B3" s="253">
        <f>[21]Mode_PA_l_f0_b1!C8</f>
        <v>2.88</v>
      </c>
      <c r="C3" s="253">
        <f>[21]Mode_PA_l_f0_b1!D8</f>
        <v>1.4143519263022799</v>
      </c>
      <c r="D3" s="253">
        <f>[21]Mode_PA_l_f0_b1!E8</f>
        <v>4.3456949573352404</v>
      </c>
      <c r="E3" s="254">
        <f>[21]Mode_PA_l_f0_b1!F8</f>
        <v>0.746</v>
      </c>
      <c r="F3" s="254">
        <f>[21]Mode_PA_l_f0_b1!G8</f>
        <v>3.859</v>
      </c>
      <c r="G3" s="254">
        <f>[21]Mode_PA_l_f0_b1!H8</f>
        <v>600</v>
      </c>
      <c r="H3" s="257">
        <f>[21]Mode_PA_l_f0_b1!I8</f>
        <v>1.2999999999999999E-4</v>
      </c>
      <c r="I3" s="257">
        <f>[21]Mode_PA_l_f0_b1!J8</f>
        <v>3.8999999999999999E-4</v>
      </c>
      <c r="J3" s="256" t="str">
        <f>[21]Mode_PA_l_f0_b1!K8</f>
        <v>p&lt;0.001</v>
      </c>
      <c r="K3" s="149">
        <f>B3-C3</f>
        <v>1.46564807369772</v>
      </c>
    </row>
    <row r="4" spans="1:57" s="76" customFormat="1" ht="15.75" customHeight="1" thickBot="1" x14ac:dyDescent="0.3">
      <c r="A4" s="245" t="s">
        <v>42</v>
      </c>
      <c r="B4" s="245">
        <f>[22]Mode_PA_h_f0_b1!C8</f>
        <v>-0.27300000000000002</v>
      </c>
      <c r="C4" s="245">
        <f>[22]Mode_PA_h_f0_b1!D8</f>
        <v>-2.42285320911986</v>
      </c>
      <c r="D4" s="245">
        <f>[22]Mode_PA_h_f0_b1!E8</f>
        <v>1.87670209574722</v>
      </c>
      <c r="E4" s="246">
        <f>[22]Mode_PA_h_f0_b1!F8</f>
        <v>1.095</v>
      </c>
      <c r="F4" s="246">
        <f>[22]Mode_PA_h_f0_b1!G8</f>
        <v>-0.249</v>
      </c>
      <c r="G4" s="246">
        <f>[22]Mode_PA_h_f0_b1!H8</f>
        <v>610.98</v>
      </c>
      <c r="H4" s="247">
        <f>[22]Mode_PA_h_f0_b1!I8</f>
        <v>0.80300000000000005</v>
      </c>
      <c r="I4" s="247">
        <f>[22]Mode_PA_h_f0_b1!J8</f>
        <v>0.90700000000000003</v>
      </c>
      <c r="J4" s="248">
        <f>[22]Mode_PA_h_f0_b1!K8</f>
        <v>0</v>
      </c>
      <c r="K4" s="149">
        <f t="shared" ref="K4:K6" si="0">B4-C4</f>
        <v>2.1498532091198599</v>
      </c>
    </row>
    <row r="5" spans="1:57" ht="15.75" customHeight="1" thickBot="1" x14ac:dyDescent="0.3">
      <c r="A5" s="91" t="s">
        <v>4</v>
      </c>
      <c r="B5" s="91">
        <f>[23]Mode_PA_l_t_b1!C8</f>
        <v>13.842000000000001</v>
      </c>
      <c r="C5" s="91">
        <f>[23]Mode_PA_l_t_b1!D8</f>
        <v>-7.7286761016436296</v>
      </c>
      <c r="D5" s="91">
        <f>[23]Mode_PA_l_t_b1!E8</f>
        <v>35.411761488235797</v>
      </c>
      <c r="E5" s="95">
        <f>[23]Mode_PA_l_t_b1!F8</f>
        <v>10.983000000000001</v>
      </c>
      <c r="F5" s="90">
        <f>[23]Mode_PA_l_t_b1!G8</f>
        <v>1.26</v>
      </c>
      <c r="G5" s="90">
        <f>[23]Mode_PA_l_t_b1!H8</f>
        <v>606.73</v>
      </c>
      <c r="H5" s="97">
        <f>[23]Mode_PA_l_t_b1!I8</f>
        <v>0.20799999999999999</v>
      </c>
      <c r="I5" s="97">
        <f>[23]Mode_PA_l_t_b1!J8</f>
        <v>0.28100000000000003</v>
      </c>
      <c r="J5" s="87">
        <f>[23]Mode_PA_l_t_b1!K8</f>
        <v>0</v>
      </c>
      <c r="K5" s="149">
        <f t="shared" si="0"/>
        <v>21.570676101643631</v>
      </c>
      <c r="L5" s="38"/>
      <c r="Q5" s="71"/>
      <c r="R5" s="71"/>
      <c r="T5" s="38"/>
      <c r="U5" s="38"/>
      <c r="Z5" s="71"/>
      <c r="AA5" s="71"/>
      <c r="AC5" s="38"/>
      <c r="AD5" s="38"/>
      <c r="AI5" s="71"/>
      <c r="AJ5" s="71"/>
      <c r="AL5" s="38"/>
      <c r="AM5" s="38"/>
      <c r="AR5" s="71"/>
      <c r="AS5" s="71"/>
      <c r="AU5" s="38"/>
      <c r="AV5" s="38"/>
      <c r="BA5" s="71"/>
      <c r="BB5" s="71"/>
      <c r="BD5" s="38"/>
      <c r="BE5" s="38"/>
    </row>
    <row r="6" spans="1:57" ht="15.75" customHeight="1" thickBot="1" x14ac:dyDescent="0.3">
      <c r="A6" s="85" t="s">
        <v>3</v>
      </c>
      <c r="B6" s="259">
        <f>[24]Mode_PA_h_t_b1!C8</f>
        <v>-49.881999999999998</v>
      </c>
      <c r="C6" s="85">
        <f>[24]Mode_PA_h_t_b1!D8</f>
        <v>-82.044816438502707</v>
      </c>
      <c r="D6" s="85">
        <f>[24]Mode_PA_h_t_b1!E8</f>
        <v>-17.7191099339265</v>
      </c>
      <c r="E6" s="185">
        <f>[24]Mode_PA_h_t_b1!F8</f>
        <v>16.376999999999999</v>
      </c>
      <c r="F6" s="84">
        <f>[24]Mode_PA_h_t_b1!G8</f>
        <v>-3.0459999999999998</v>
      </c>
      <c r="G6" s="84">
        <f>[24]Mode_PA_h_t_b1!H8</f>
        <v>609.57000000000005</v>
      </c>
      <c r="H6" s="186">
        <f>[24]Mode_PA_h_t_b1!I8</f>
        <v>2E-3</v>
      </c>
      <c r="I6" s="186">
        <f>[24]Mode_PA_h_t_b1!J8</f>
        <v>4.0000000000000001E-3</v>
      </c>
      <c r="J6" s="83" t="str">
        <f>[24]Mode_PA_h_t_b1!K8</f>
        <v>p&lt;0.01</v>
      </c>
      <c r="K6" s="149">
        <f t="shared" si="0"/>
        <v>32.162816438502709</v>
      </c>
      <c r="L6" s="38"/>
      <c r="S6" s="38"/>
      <c r="T6" s="38"/>
      <c r="U6" s="38"/>
      <c r="AB6" s="38"/>
      <c r="AC6" s="38"/>
      <c r="AD6" s="38"/>
      <c r="AK6" s="38"/>
      <c r="AL6" s="38"/>
      <c r="AM6" s="38"/>
      <c r="AT6" s="38"/>
      <c r="AU6" s="38"/>
      <c r="AV6" s="38"/>
      <c r="BC6" s="38"/>
      <c r="BD6" s="38"/>
      <c r="BE6" s="38"/>
    </row>
    <row r="7" spans="1:57" ht="15.75" customHeight="1" thickTop="1" thickBot="1" x14ac:dyDescent="0.3">
      <c r="A7" s="57" t="s">
        <v>80</v>
      </c>
      <c r="B7" s="57" t="str">
        <f>B2</f>
        <v>est.</v>
      </c>
      <c r="C7" s="57" t="str">
        <f t="shared" ref="C7:J7" si="1">C2</f>
        <v>2.5% CI</v>
      </c>
      <c r="D7" s="57" t="str">
        <f t="shared" si="1"/>
        <v>97.5% CI</v>
      </c>
      <c r="E7" s="57" t="str">
        <f t="shared" si="1"/>
        <v>std.error</v>
      </c>
      <c r="F7" s="57" t="str">
        <f t="shared" si="1"/>
        <v>t</v>
      </c>
      <c r="G7" s="57" t="str">
        <f t="shared" si="1"/>
        <v>df</v>
      </c>
      <c r="H7" s="72" t="str">
        <f t="shared" si="1"/>
        <v>p. val.</v>
      </c>
      <c r="I7" s="72" t="str">
        <f t="shared" si="1"/>
        <v>p.adj.</v>
      </c>
      <c r="J7" s="58" t="str">
        <f t="shared" si="1"/>
        <v>sig.</v>
      </c>
      <c r="K7" s="148" t="s">
        <v>64</v>
      </c>
      <c r="L7" s="38"/>
      <c r="O7" s="71"/>
      <c r="P7" s="71"/>
      <c r="Q7" s="71"/>
      <c r="S7" s="38"/>
      <c r="T7" s="38"/>
      <c r="U7" s="38"/>
      <c r="X7" s="71"/>
      <c r="Y7" s="71"/>
      <c r="Z7" s="71"/>
      <c r="AB7" s="38"/>
      <c r="AC7" s="38"/>
      <c r="AD7" s="38"/>
      <c r="AG7" s="71"/>
      <c r="AH7" s="71"/>
      <c r="AI7" s="71"/>
      <c r="AK7" s="38"/>
      <c r="AL7" s="38"/>
      <c r="AM7" s="38"/>
      <c r="AP7" s="71"/>
      <c r="AQ7" s="71"/>
      <c r="AR7" s="71"/>
      <c r="AT7" s="38"/>
      <c r="AU7" s="38"/>
      <c r="AV7" s="38"/>
      <c r="AY7" s="71"/>
      <c r="AZ7" s="71"/>
      <c r="BA7" s="71"/>
      <c r="BC7" s="38"/>
      <c r="BD7" s="38"/>
      <c r="BE7" s="38"/>
    </row>
    <row r="8" spans="1:57" ht="15.75" customHeight="1" thickTop="1" thickBot="1" x14ac:dyDescent="0.3">
      <c r="A8" s="249" t="s">
        <v>41</v>
      </c>
      <c r="B8" s="249">
        <f>[21]Mode_PA_l_f0_b1!C9</f>
        <v>0.71599999999999997</v>
      </c>
      <c r="C8" s="249">
        <f>[21]Mode_PA_l_f0_b1!D9</f>
        <v>0.109810559163631</v>
      </c>
      <c r="D8" s="249">
        <f>[21]Mode_PA_l_f0_b1!E9</f>
        <v>1.3228377311159101</v>
      </c>
      <c r="E8" s="250">
        <f>[21]Mode_PA_l_f0_b1!F9</f>
        <v>0.309</v>
      </c>
      <c r="F8" s="250">
        <f>[21]Mode_PA_l_f0_b1!G9</f>
        <v>2.3199999999999998</v>
      </c>
      <c r="G8" s="250">
        <f>[21]Mode_PA_l_f0_b1!H9</f>
        <v>599.23</v>
      </c>
      <c r="H8" s="252">
        <f>[21]Mode_PA_l_f0_b1!I9</f>
        <v>2.1000000000000001E-2</v>
      </c>
      <c r="I8" s="252">
        <f>[21]Mode_PA_l_f0_b1!J9</f>
        <v>3.5000000000000003E-2</v>
      </c>
      <c r="J8" s="248" t="str">
        <f>[21]Mode_PA_l_f0_b1!K9</f>
        <v>p&lt;0.05</v>
      </c>
      <c r="K8" s="149">
        <f>B8-C8</f>
        <v>0.60618944083636894</v>
      </c>
      <c r="L8" s="38"/>
      <c r="O8" s="71"/>
      <c r="P8" s="71"/>
      <c r="Q8" s="71"/>
      <c r="S8" s="38"/>
      <c r="T8" s="38"/>
      <c r="U8" s="38"/>
      <c r="X8" s="71"/>
      <c r="Y8" s="71"/>
      <c r="Z8" s="71"/>
      <c r="AB8" s="38"/>
      <c r="AC8" s="38"/>
      <c r="AD8" s="38"/>
      <c r="AG8" s="71"/>
      <c r="AH8" s="71"/>
      <c r="AI8" s="71"/>
      <c r="AK8" s="38"/>
      <c r="AL8" s="38"/>
      <c r="AM8" s="38"/>
      <c r="AP8" s="71"/>
      <c r="AQ8" s="71"/>
      <c r="AR8" s="71"/>
      <c r="AT8" s="38"/>
      <c r="AU8" s="38"/>
      <c r="AV8" s="38"/>
      <c r="AY8" s="71"/>
      <c r="AZ8" s="71"/>
      <c r="BA8" s="71"/>
      <c r="BC8" s="38"/>
      <c r="BD8" s="38"/>
      <c r="BE8" s="38"/>
    </row>
    <row r="9" spans="1:57" ht="15.75" customHeight="1" thickBot="1" x14ac:dyDescent="0.3">
      <c r="A9" s="94" t="s">
        <v>42</v>
      </c>
      <c r="B9" s="94">
        <f>[22]Mode_PA_h_f0_b1!C9</f>
        <v>3.577</v>
      </c>
      <c r="C9" s="94">
        <f>[22]Mode_PA_h_f0_b1!D9</f>
        <v>2.7248136399280498</v>
      </c>
      <c r="D9" s="94">
        <f>[22]Mode_PA_h_f0_b1!E9</f>
        <v>4.4287303056273402</v>
      </c>
      <c r="E9" s="93">
        <f>[22]Mode_PA_h_f0_b1!F9</f>
        <v>0.434</v>
      </c>
      <c r="F9" s="93">
        <f>[22]Mode_PA_h_f0_b1!G9</f>
        <v>8.2449999999999992</v>
      </c>
      <c r="G9" s="93">
        <f>[22]Mode_PA_h_f0_b1!H9</f>
        <v>610.16999999999996</v>
      </c>
      <c r="H9" s="88">
        <f>[22]Mode_PA_h_f0_b1!I9</f>
        <v>1.0000000000000001E-15</v>
      </c>
      <c r="I9" s="88">
        <f>[22]Mode_PA_h_f0_b1!J9</f>
        <v>7.4999999999999996E-15</v>
      </c>
      <c r="J9" s="87" t="str">
        <f>[22]Mode_PA_h_f0_b1!K9</f>
        <v>p&lt;0.0001</v>
      </c>
      <c r="K9" s="149">
        <f t="shared" ref="K9:K11" si="2">B9-C9</f>
        <v>0.85218636007195014</v>
      </c>
      <c r="L9" s="38"/>
      <c r="O9" s="71"/>
      <c r="P9" s="71"/>
      <c r="Q9" s="71"/>
      <c r="S9" s="38"/>
      <c r="T9" s="38"/>
      <c r="U9" s="38"/>
      <c r="X9" s="71"/>
      <c r="Y9" s="71"/>
      <c r="Z9" s="71"/>
      <c r="AB9" s="38"/>
      <c r="AC9" s="38"/>
      <c r="AD9" s="38"/>
      <c r="AG9" s="71"/>
      <c r="AH9" s="71"/>
      <c r="AI9" s="71"/>
      <c r="AK9" s="38"/>
      <c r="AL9" s="38"/>
      <c r="AM9" s="38"/>
      <c r="AP9" s="71"/>
      <c r="AQ9" s="71"/>
      <c r="AR9" s="71"/>
      <c r="AT9" s="38"/>
      <c r="AU9" s="38"/>
      <c r="AV9" s="38"/>
      <c r="AY9" s="71"/>
      <c r="AZ9" s="71"/>
      <c r="BA9" s="71"/>
      <c r="BC9" s="38"/>
      <c r="BD9" s="38"/>
      <c r="BE9" s="38"/>
    </row>
    <row r="10" spans="1:57" ht="15.75" customHeight="1" thickBot="1" x14ac:dyDescent="0.3">
      <c r="A10" s="91" t="s">
        <v>4</v>
      </c>
      <c r="B10" s="91">
        <f>[23]Mode_PA_l_t_b1!C9</f>
        <v>-4.0629999999999997</v>
      </c>
      <c r="C10" s="91">
        <f>[23]Mode_PA_l_t_b1!D9</f>
        <v>-12.6427494005663</v>
      </c>
      <c r="D10" s="91">
        <f>[23]Mode_PA_l_t_b1!E9</f>
        <v>4.5162345382764499</v>
      </c>
      <c r="E10" s="90">
        <f>[23]Mode_PA_l_t_b1!F9</f>
        <v>4.3689999999999998</v>
      </c>
      <c r="F10" s="90">
        <f>[23]Mode_PA_l_t_b1!G9</f>
        <v>-0.93</v>
      </c>
      <c r="G10" s="90">
        <f>[23]Mode_PA_l_t_b1!H9</f>
        <v>607.47</v>
      </c>
      <c r="H10" s="97">
        <f>[23]Mode_PA_l_t_b1!I9</f>
        <v>0.35299999999999998</v>
      </c>
      <c r="I10" s="97">
        <f>[23]Mode_PA_l_t_b1!J9</f>
        <v>0.45200000000000001</v>
      </c>
      <c r="J10" s="87">
        <f>[23]Mode_PA_l_t_b1!K9</f>
        <v>0</v>
      </c>
      <c r="K10" s="149">
        <f t="shared" si="2"/>
        <v>8.5797494005662998</v>
      </c>
      <c r="L10" s="38"/>
      <c r="Q10" s="71"/>
      <c r="R10" s="71"/>
      <c r="T10" s="38"/>
      <c r="U10" s="38"/>
      <c r="Z10" s="71"/>
      <c r="AA10" s="71"/>
      <c r="AC10" s="38"/>
      <c r="AD10" s="38"/>
      <c r="AI10" s="71"/>
      <c r="AJ10" s="71"/>
      <c r="AL10" s="38"/>
      <c r="AM10" s="38"/>
      <c r="AR10" s="71"/>
      <c r="AS10" s="71"/>
      <c r="AU10" s="38"/>
      <c r="AV10" s="38"/>
      <c r="BA10" s="71"/>
      <c r="BB10" s="71"/>
      <c r="BD10" s="38"/>
      <c r="BE10" s="38"/>
    </row>
    <row r="11" spans="1:57" ht="15.75" customHeight="1" thickBot="1" x14ac:dyDescent="0.3">
      <c r="A11" s="85" t="s">
        <v>3</v>
      </c>
      <c r="B11" s="85">
        <f>[24]Mode_PA_h_t_b1!C9</f>
        <v>-0.86099999999999999</v>
      </c>
      <c r="C11" s="85">
        <f>[24]Mode_PA_h_t_b1!D9</f>
        <v>-13.6202478931702</v>
      </c>
      <c r="D11" s="85">
        <f>[24]Mode_PA_h_t_b1!E9</f>
        <v>11.8983528620118</v>
      </c>
      <c r="E11" s="84">
        <f>[24]Mode_PA_h_t_b1!F9</f>
        <v>6.4969999999999999</v>
      </c>
      <c r="F11" s="84">
        <f>[24]Mode_PA_h_t_b1!G9</f>
        <v>-0.13300000000000001</v>
      </c>
      <c r="G11" s="84">
        <f>[24]Mode_PA_h_t_b1!H9</f>
        <v>608.66999999999996</v>
      </c>
      <c r="H11" s="187">
        <f>[24]Mode_PA_h_t_b1!I9</f>
        <v>0.89500000000000002</v>
      </c>
      <c r="I11" s="187">
        <f>[24]Mode_PA_h_t_b1!J9</f>
        <v>0.93799999999999994</v>
      </c>
      <c r="J11" s="83">
        <f>[24]Mode_PA_h_t_b1!K9</f>
        <v>0</v>
      </c>
      <c r="K11" s="149">
        <f t="shared" si="2"/>
        <v>12.759247893170199</v>
      </c>
      <c r="L11" s="38"/>
      <c r="Q11" s="71"/>
      <c r="R11" s="71"/>
      <c r="T11" s="38"/>
      <c r="U11" s="38"/>
      <c r="Z11" s="71"/>
      <c r="AA11" s="71"/>
      <c r="AC11" s="38"/>
      <c r="AD11" s="38"/>
      <c r="AI11" s="71"/>
      <c r="AJ11" s="71"/>
      <c r="AL11" s="38"/>
      <c r="AM11" s="38"/>
      <c r="AR11" s="71"/>
      <c r="AS11" s="71"/>
      <c r="AU11" s="38"/>
      <c r="AV11" s="38"/>
      <c r="BA11" s="71"/>
      <c r="BB11" s="71"/>
      <c r="BD11" s="38"/>
      <c r="BE11" s="38"/>
    </row>
    <row r="12" spans="1:57" ht="15.75" customHeight="1" thickTop="1" thickBot="1" x14ac:dyDescent="0.3">
      <c r="A12" s="57" t="s">
        <v>81</v>
      </c>
      <c r="B12" s="57" t="str">
        <f t="shared" ref="B12:J12" si="3">B7</f>
        <v>est.</v>
      </c>
      <c r="C12" s="57" t="str">
        <f t="shared" si="3"/>
        <v>2.5% CI</v>
      </c>
      <c r="D12" s="57" t="str">
        <f t="shared" si="3"/>
        <v>97.5% CI</v>
      </c>
      <c r="E12" s="57" t="str">
        <f t="shared" si="3"/>
        <v>std.error</v>
      </c>
      <c r="F12" s="57" t="str">
        <f t="shared" si="3"/>
        <v>t</v>
      </c>
      <c r="G12" s="57" t="str">
        <f t="shared" si="3"/>
        <v>df</v>
      </c>
      <c r="H12" s="72" t="str">
        <f t="shared" si="3"/>
        <v>p. val.</v>
      </c>
      <c r="I12" s="72" t="str">
        <f t="shared" si="3"/>
        <v>p.adj.</v>
      </c>
      <c r="J12" s="58" t="str">
        <f t="shared" si="3"/>
        <v>sig.</v>
      </c>
      <c r="K12" s="148" t="s">
        <v>64</v>
      </c>
      <c r="L12" s="38"/>
      <c r="Q12" s="71"/>
      <c r="R12" s="71"/>
      <c r="T12" s="38"/>
      <c r="U12" s="38"/>
      <c r="Z12" s="71"/>
      <c r="AA12" s="71"/>
      <c r="AC12" s="38"/>
      <c r="AD12" s="38"/>
      <c r="AI12" s="71"/>
      <c r="AJ12" s="71"/>
      <c r="AL12" s="38"/>
      <c r="AM12" s="38"/>
      <c r="AR12" s="71"/>
      <c r="AS12" s="71"/>
      <c r="AU12" s="38"/>
      <c r="AV12" s="38"/>
      <c r="BA12" s="71"/>
      <c r="BB12" s="71"/>
      <c r="BD12" s="38"/>
      <c r="BE12" s="38"/>
    </row>
    <row r="13" spans="1:57" ht="15.75" customHeight="1" thickTop="1" thickBot="1" x14ac:dyDescent="0.3">
      <c r="A13" s="253" t="s">
        <v>41</v>
      </c>
      <c r="B13" s="253">
        <f>[21]Mode_PA_l_f0_b1!C10</f>
        <v>2.7330000000000001</v>
      </c>
      <c r="C13" s="253">
        <f>[21]Mode_PA_l_f0_b1!D10</f>
        <v>2.2651751197030698</v>
      </c>
      <c r="D13" s="253">
        <f>[21]Mode_PA_l_f0_b1!E10</f>
        <v>3.20129385599936</v>
      </c>
      <c r="E13" s="254">
        <f>[21]Mode_PA_l_f0_b1!F10</f>
        <v>0.23799999999999999</v>
      </c>
      <c r="F13" s="254">
        <f>[21]Mode_PA_l_f0_b1!G10</f>
        <v>11.468</v>
      </c>
      <c r="G13" s="254">
        <f>[21]Mode_PA_l_f0_b1!H10</f>
        <v>599.17999999999995</v>
      </c>
      <c r="H13" s="255">
        <f>[21]Mode_PA_l_f0_b1!I10</f>
        <v>1.2E-27</v>
      </c>
      <c r="I13" s="255">
        <f>[21]Mode_PA_l_f0_b1!J10</f>
        <v>1.9000000000000001E-26</v>
      </c>
      <c r="J13" s="256" t="str">
        <f>[21]Mode_PA_l_f0_b1!K10</f>
        <v>p&lt;0.0001</v>
      </c>
      <c r="K13" s="149">
        <f>B13-C13</f>
        <v>0.46782488029693026</v>
      </c>
      <c r="L13" s="38"/>
      <c r="Q13" s="71"/>
      <c r="R13" s="71"/>
      <c r="T13" s="38"/>
      <c r="U13" s="38"/>
      <c r="Z13" s="71"/>
      <c r="AA13" s="71"/>
      <c r="AC13" s="38"/>
      <c r="AD13" s="38"/>
      <c r="AI13" s="71"/>
      <c r="AJ13" s="71"/>
      <c r="AL13" s="38"/>
      <c r="AM13" s="38"/>
      <c r="AR13" s="71"/>
      <c r="AS13" s="71"/>
      <c r="AU13" s="38"/>
      <c r="AV13" s="38"/>
      <c r="BA13" s="71"/>
      <c r="BB13" s="71"/>
      <c r="BD13" s="38"/>
      <c r="BE13" s="38"/>
    </row>
    <row r="14" spans="1:57" ht="15.75" customHeight="1" thickBot="1" x14ac:dyDescent="0.3">
      <c r="A14" s="94" t="s">
        <v>42</v>
      </c>
      <c r="B14" s="94">
        <f>[22]Mode_PA_h_f0_b1!C10</f>
        <v>3.5680000000000001</v>
      </c>
      <c r="C14" s="94">
        <f>[22]Mode_PA_h_f0_b1!D10</f>
        <v>2.9027965662978201</v>
      </c>
      <c r="D14" s="94">
        <f>[22]Mode_PA_h_f0_b1!E10</f>
        <v>4.2336322708510199</v>
      </c>
      <c r="E14" s="93">
        <f>[22]Mode_PA_h_f0_b1!F10</f>
        <v>0.33900000000000002</v>
      </c>
      <c r="F14" s="93">
        <f>[22]Mode_PA_h_f0_b1!G10</f>
        <v>10.531000000000001</v>
      </c>
      <c r="G14" s="93">
        <f>[22]Mode_PA_h_f0_b1!H10</f>
        <v>610.69000000000005</v>
      </c>
      <c r="H14" s="88">
        <f>[22]Mode_PA_h_f0_b1!I10</f>
        <v>6.1000000000000004E-24</v>
      </c>
      <c r="I14" s="88">
        <f>[22]Mode_PA_h_f0_b1!J10</f>
        <v>8.2999999999999999E-23</v>
      </c>
      <c r="J14" s="87" t="str">
        <f>[22]Mode_PA_h_f0_b1!K10</f>
        <v>p&lt;0.0001</v>
      </c>
      <c r="K14" s="149">
        <f t="shared" ref="K14:K16" si="4">B14-C14</f>
        <v>0.66520343370217994</v>
      </c>
      <c r="L14" s="38"/>
      <c r="Q14" s="71"/>
      <c r="R14" s="71"/>
      <c r="T14" s="38"/>
      <c r="U14" s="38"/>
      <c r="Z14" s="71"/>
      <c r="AA14" s="71"/>
      <c r="AC14" s="38"/>
      <c r="AD14" s="38"/>
      <c r="AI14" s="71"/>
      <c r="AJ14" s="71"/>
      <c r="AL14" s="38"/>
      <c r="AM14" s="38"/>
      <c r="AR14" s="71"/>
      <c r="AS14" s="71"/>
      <c r="AU14" s="38"/>
      <c r="AV14" s="38"/>
      <c r="BA14" s="71"/>
      <c r="BB14" s="71"/>
      <c r="BD14" s="38"/>
      <c r="BE14" s="38"/>
    </row>
    <row r="15" spans="1:57" ht="15.75" customHeight="1" thickBot="1" x14ac:dyDescent="0.3">
      <c r="A15" s="91" t="s">
        <v>4</v>
      </c>
      <c r="B15" s="91">
        <f>[23]Mode_PA_l_t_b1!C10</f>
        <v>-2.0190000000000001</v>
      </c>
      <c r="C15" s="91">
        <f>[23]Mode_PA_l_t_b1!D10</f>
        <v>-8.6991730733742596</v>
      </c>
      <c r="D15" s="91">
        <f>[23]Mode_PA_l_t_b1!E10</f>
        <v>4.6607931810943404</v>
      </c>
      <c r="E15" s="90">
        <f>[23]Mode_PA_l_t_b1!F10</f>
        <v>3.4009999999999998</v>
      </c>
      <c r="F15" s="90">
        <f>[23]Mode_PA_l_t_b1!G10</f>
        <v>-0.59399999999999997</v>
      </c>
      <c r="G15" s="90">
        <f>[23]Mode_PA_l_t_b1!H10</f>
        <v>608.59</v>
      </c>
      <c r="H15" s="97">
        <f>[23]Mode_PA_l_t_b1!I10</f>
        <v>0.55300000000000005</v>
      </c>
      <c r="I15" s="97">
        <f>[23]Mode_PA_l_t_b1!J10</f>
        <v>0.64700000000000002</v>
      </c>
      <c r="J15" s="87">
        <f>[23]Mode_PA_l_t_b1!K10</f>
        <v>0</v>
      </c>
      <c r="K15" s="149">
        <f t="shared" si="4"/>
        <v>6.6801730733742595</v>
      </c>
      <c r="L15" s="38"/>
      <c r="Q15" s="71"/>
      <c r="R15" s="71"/>
      <c r="T15" s="38"/>
      <c r="U15" s="38"/>
      <c r="Z15" s="71"/>
      <c r="AA15" s="71"/>
      <c r="AC15" s="38"/>
      <c r="AD15" s="38"/>
      <c r="AI15" s="71"/>
      <c r="AJ15" s="71"/>
      <c r="AL15" s="38"/>
      <c r="AM15" s="38"/>
      <c r="AR15" s="71"/>
      <c r="AS15" s="71"/>
      <c r="AU15" s="38"/>
      <c r="AV15" s="38"/>
      <c r="BA15" s="71"/>
      <c r="BB15" s="71"/>
      <c r="BD15" s="38"/>
      <c r="BE15" s="38"/>
    </row>
    <row r="16" spans="1:57" ht="15.75" customHeight="1" thickBot="1" x14ac:dyDescent="0.3">
      <c r="A16" s="85" t="s">
        <v>3</v>
      </c>
      <c r="B16" s="85">
        <f>[24]Mode_PA_h_t_b1!C10</f>
        <v>-0.60599999999999998</v>
      </c>
      <c r="C16" s="85">
        <f>[24]Mode_PA_h_t_b1!D10</f>
        <v>-10.544624522024501</v>
      </c>
      <c r="D16" s="85">
        <f>[24]Mode_PA_h_t_b1!E10</f>
        <v>9.3327365828932507</v>
      </c>
      <c r="E16" s="84">
        <f>[24]Mode_PA_h_t_b1!F10</f>
        <v>5.0609999999999999</v>
      </c>
      <c r="F16" s="84">
        <f>[24]Mode_PA_h_t_b1!G10</f>
        <v>-0.12</v>
      </c>
      <c r="G16" s="84">
        <f>[24]Mode_PA_h_t_b1!H10</f>
        <v>609.58000000000004</v>
      </c>
      <c r="H16" s="187">
        <f>[24]Mode_PA_h_t_b1!I10</f>
        <v>0.90500000000000003</v>
      </c>
      <c r="I16" s="187">
        <f>[24]Mode_PA_h_t_b1!J10</f>
        <v>0.93799999999999994</v>
      </c>
      <c r="J16" s="83">
        <f>[24]Mode_PA_h_t_b1!K10</f>
        <v>0</v>
      </c>
      <c r="K16" s="149">
        <f t="shared" si="4"/>
        <v>9.9386245220245009</v>
      </c>
      <c r="L16" s="38"/>
      <c r="Q16" s="71"/>
      <c r="R16" s="71"/>
      <c r="T16" s="38"/>
      <c r="U16" s="38"/>
      <c r="Z16" s="71"/>
      <c r="AA16" s="71"/>
      <c r="AC16" s="38"/>
      <c r="AD16" s="38"/>
      <c r="AI16" s="71"/>
      <c r="AJ16" s="71"/>
      <c r="AL16" s="38"/>
      <c r="AM16" s="38"/>
      <c r="AR16" s="71"/>
      <c r="AS16" s="71"/>
      <c r="AU16" s="38"/>
      <c r="AV16" s="38"/>
      <c r="BA16" s="71"/>
      <c r="BB16" s="71"/>
      <c r="BD16" s="38"/>
      <c r="BE16" s="38"/>
    </row>
    <row r="17" spans="1:57" ht="15.75" customHeight="1" thickTop="1" thickBot="1" x14ac:dyDescent="0.3">
      <c r="A17" s="57" t="s">
        <v>82</v>
      </c>
      <c r="B17" s="57" t="str">
        <f t="shared" ref="B17:J17" si="5">B12</f>
        <v>est.</v>
      </c>
      <c r="C17" s="57" t="str">
        <f t="shared" si="5"/>
        <v>2.5% CI</v>
      </c>
      <c r="D17" s="57" t="str">
        <f t="shared" si="5"/>
        <v>97.5% CI</v>
      </c>
      <c r="E17" s="57" t="str">
        <f t="shared" si="5"/>
        <v>std.error</v>
      </c>
      <c r="F17" s="57" t="str">
        <f t="shared" si="5"/>
        <v>t</v>
      </c>
      <c r="G17" s="57" t="str">
        <f t="shared" si="5"/>
        <v>df</v>
      </c>
      <c r="H17" s="72" t="str">
        <f t="shared" si="5"/>
        <v>p. val.</v>
      </c>
      <c r="I17" s="72" t="str">
        <f t="shared" si="5"/>
        <v>p.adj.</v>
      </c>
      <c r="J17" s="58" t="str">
        <f t="shared" si="5"/>
        <v>sig.</v>
      </c>
      <c r="K17" s="148" t="s">
        <v>64</v>
      </c>
      <c r="L17" s="38"/>
      <c r="Q17" s="71"/>
      <c r="R17" s="71"/>
      <c r="T17" s="38"/>
      <c r="U17" s="38"/>
      <c r="Z17" s="71"/>
      <c r="AA17" s="71"/>
      <c r="AC17" s="38"/>
      <c r="AD17" s="38"/>
      <c r="AI17" s="71"/>
      <c r="AJ17" s="71"/>
      <c r="AL17" s="38"/>
      <c r="AM17" s="38"/>
      <c r="AR17" s="71"/>
      <c r="AS17" s="71"/>
      <c r="AU17" s="38"/>
      <c r="AV17" s="38"/>
      <c r="BA17" s="71"/>
      <c r="BB17" s="71"/>
      <c r="BD17" s="38"/>
      <c r="BE17" s="38"/>
    </row>
    <row r="18" spans="1:57" ht="15.75" customHeight="1" thickTop="1" thickBot="1" x14ac:dyDescent="0.3">
      <c r="A18" s="253" t="s">
        <v>41</v>
      </c>
      <c r="B18" s="253">
        <f>[21]Mode_PA_l_f0_b1!C11</f>
        <v>-2.1640000000000001</v>
      </c>
      <c r="C18" s="253">
        <f>[21]Mode_PA_l_f0_b1!D11</f>
        <v>-3.6806370499734702</v>
      </c>
      <c r="D18" s="253">
        <f>[21]Mode_PA_l_f0_b1!E11</f>
        <v>-0.64676155498061305</v>
      </c>
      <c r="E18" s="254">
        <f>[21]Mode_PA_l_f0_b1!F11</f>
        <v>0.77200000000000002</v>
      </c>
      <c r="F18" s="254">
        <f>[21]Mode_PA_l_f0_b1!G11</f>
        <v>-2.8010000000000002</v>
      </c>
      <c r="G18" s="254">
        <f>[21]Mode_PA_l_f0_b1!H11</f>
        <v>600.20000000000005</v>
      </c>
      <c r="H18" s="257">
        <f>[21]Mode_PA_l_f0_b1!I11</f>
        <v>5.0000000000000001E-3</v>
      </c>
      <c r="I18" s="257">
        <f>[21]Mode_PA_l_f0_b1!J11</f>
        <v>8.9999999999999993E-3</v>
      </c>
      <c r="J18" s="256" t="str">
        <f>[21]Mode_PA_l_f0_b1!K11</f>
        <v>p&lt;0.01</v>
      </c>
      <c r="K18" s="149">
        <f>B18-C18</f>
        <v>1.51663704997347</v>
      </c>
      <c r="L18" s="38"/>
      <c r="Q18" s="71"/>
      <c r="R18" s="71"/>
      <c r="T18" s="38"/>
      <c r="U18" s="38"/>
      <c r="Z18" s="71"/>
      <c r="AA18" s="71"/>
      <c r="AC18" s="38"/>
      <c r="AD18" s="38"/>
      <c r="AI18" s="71"/>
      <c r="AJ18" s="71"/>
      <c r="AL18" s="38"/>
      <c r="AM18" s="38"/>
      <c r="AR18" s="71"/>
      <c r="AS18" s="71"/>
      <c r="AU18" s="38"/>
      <c r="AV18" s="38"/>
      <c r="BA18" s="71"/>
      <c r="BB18" s="71"/>
      <c r="BD18" s="38"/>
      <c r="BE18" s="38"/>
    </row>
    <row r="19" spans="1:57" ht="15.75" customHeight="1" thickBot="1" x14ac:dyDescent="0.3">
      <c r="A19" s="94" t="s">
        <v>42</v>
      </c>
      <c r="B19" s="94">
        <f>[22]Mode_PA_h_f0_b1!C11</f>
        <v>3.85</v>
      </c>
      <c r="C19" s="94">
        <f>[22]Mode_PA_h_f0_b1!D11</f>
        <v>1.62726695041575</v>
      </c>
      <c r="D19" s="94">
        <f>[22]Mode_PA_h_f0_b1!E11</f>
        <v>6.0724281058506397</v>
      </c>
      <c r="E19" s="93">
        <f>[22]Mode_PA_h_f0_b1!F11</f>
        <v>1.1319999999999999</v>
      </c>
      <c r="F19" s="93">
        <f>[22]Mode_PA_h_f0_b1!G11</f>
        <v>3.4020000000000001</v>
      </c>
      <c r="G19" s="93">
        <f>[22]Mode_PA_h_f0_b1!H11</f>
        <v>611</v>
      </c>
      <c r="H19" s="89">
        <f>[22]Mode_PA_h_f0_b1!I11</f>
        <v>7.1000000000000002E-4</v>
      </c>
      <c r="I19" s="89">
        <f>[22]Mode_PA_h_f0_b1!J11</f>
        <v>2E-3</v>
      </c>
      <c r="J19" s="87" t="str">
        <f>[22]Mode_PA_h_f0_b1!K11</f>
        <v>p&lt;0.01</v>
      </c>
      <c r="K19" s="149">
        <f t="shared" ref="K19:K21" si="6">B19-C19</f>
        <v>2.2227330495842503</v>
      </c>
      <c r="L19" s="38"/>
      <c r="Q19" s="71"/>
      <c r="R19" s="71"/>
      <c r="T19" s="38"/>
      <c r="U19" s="38"/>
      <c r="Z19" s="71"/>
      <c r="AA19" s="71"/>
      <c r="AC19" s="38"/>
      <c r="AD19" s="38"/>
      <c r="AI19" s="71"/>
      <c r="AJ19" s="71"/>
      <c r="AL19" s="38"/>
      <c r="AM19" s="38"/>
      <c r="AR19" s="71"/>
      <c r="AS19" s="71"/>
      <c r="AU19" s="38"/>
      <c r="AV19" s="38"/>
      <c r="BA19" s="71"/>
      <c r="BB19" s="71"/>
      <c r="BD19" s="38"/>
      <c r="BE19" s="38"/>
    </row>
    <row r="20" spans="1:57" ht="15.75" customHeight="1" thickBot="1" x14ac:dyDescent="0.3">
      <c r="A20" s="91" t="s">
        <v>4</v>
      </c>
      <c r="B20" s="91">
        <f>[23]Mode_PA_l_t_b1!C11</f>
        <v>-17.905000000000001</v>
      </c>
      <c r="C20" s="91">
        <f>[23]Mode_PA_l_t_b1!D11</f>
        <v>-40.173241334541203</v>
      </c>
      <c r="D20" s="91">
        <f>[23]Mode_PA_l_t_b1!E11</f>
        <v>4.3636491167081601</v>
      </c>
      <c r="E20" s="90">
        <f>[23]Mode_PA_l_t_b1!F11</f>
        <v>11.339</v>
      </c>
      <c r="F20" s="90">
        <f>[23]Mode_PA_l_t_b1!G11</f>
        <v>-1.579</v>
      </c>
      <c r="G20" s="90">
        <f>[23]Mode_PA_l_t_b1!H11</f>
        <v>605.26</v>
      </c>
      <c r="H20" s="97">
        <f>[23]Mode_PA_l_t_b1!I11</f>
        <v>0.115</v>
      </c>
      <c r="I20" s="97">
        <f>[23]Mode_PA_l_t_b1!J11</f>
        <v>0.17</v>
      </c>
      <c r="J20" s="87">
        <f>[23]Mode_PA_l_t_b1!K11</f>
        <v>0</v>
      </c>
      <c r="K20" s="149">
        <f t="shared" si="6"/>
        <v>22.268241334541202</v>
      </c>
      <c r="L20" s="38"/>
      <c r="Q20" s="71"/>
      <c r="R20" s="71"/>
      <c r="T20" s="38"/>
      <c r="U20" s="38"/>
      <c r="Z20" s="71"/>
      <c r="AA20" s="71"/>
      <c r="AC20" s="38"/>
      <c r="AD20" s="38"/>
      <c r="AI20" s="71"/>
      <c r="AJ20" s="71"/>
      <c r="AL20" s="38"/>
      <c r="AM20" s="38"/>
      <c r="AR20" s="71"/>
      <c r="AS20" s="71"/>
      <c r="AU20" s="38"/>
      <c r="AV20" s="38"/>
      <c r="BA20" s="71"/>
      <c r="BB20" s="71"/>
      <c r="BD20" s="38"/>
      <c r="BE20" s="38"/>
    </row>
    <row r="21" spans="1:57" ht="15.75" customHeight="1" thickBot="1" x14ac:dyDescent="0.3">
      <c r="A21" s="85" t="s">
        <v>3</v>
      </c>
      <c r="B21" s="258">
        <f>[24]Mode_PA_h_t_b1!C11</f>
        <v>49.021000000000001</v>
      </c>
      <c r="C21" s="91">
        <f>[24]Mode_PA_h_t_b1!D11</f>
        <v>15.837034689771899</v>
      </c>
      <c r="D21" s="91">
        <f>[24]Mode_PA_h_t_b1!E11</f>
        <v>82.204996663470496</v>
      </c>
      <c r="E21" s="90">
        <f>[24]Mode_PA_h_t_b1!F11</f>
        <v>16.896999999999998</v>
      </c>
      <c r="F21" s="90">
        <f>[24]Mode_PA_h_t_b1!G11</f>
        <v>2.9009999999999998</v>
      </c>
      <c r="G21" s="90">
        <f>[24]Mode_PA_h_t_b1!H11</f>
        <v>609.64</v>
      </c>
      <c r="H21" s="89">
        <f>[24]Mode_PA_h_t_b1!I11</f>
        <v>4.0000000000000001E-3</v>
      </c>
      <c r="I21" s="89">
        <f>[24]Mode_PA_h_t_b1!J11</f>
        <v>7.0000000000000001E-3</v>
      </c>
      <c r="J21" s="87" t="str">
        <f>[24]Mode_PA_h_t_b1!K11</f>
        <v>p&lt;0.01</v>
      </c>
      <c r="K21" s="149">
        <f t="shared" si="6"/>
        <v>33.183965310228103</v>
      </c>
      <c r="L21" s="38"/>
      <c r="Q21" s="71"/>
      <c r="R21" s="71"/>
      <c r="T21" s="38"/>
      <c r="U21" s="38"/>
      <c r="Z21" s="71"/>
      <c r="AA21" s="71"/>
      <c r="AC21" s="38"/>
      <c r="AD21" s="38"/>
      <c r="AI21" s="71"/>
      <c r="AJ21" s="71"/>
      <c r="AL21" s="38"/>
      <c r="AM21" s="38"/>
      <c r="AR21" s="71"/>
      <c r="AS21" s="71"/>
      <c r="AU21" s="38"/>
      <c r="AV21" s="38"/>
      <c r="BA21" s="71"/>
      <c r="BB21" s="71"/>
      <c r="BD21" s="38"/>
      <c r="BE21" s="38"/>
    </row>
    <row r="22" spans="1:57" ht="15.75" customHeight="1" thickTop="1" thickBot="1" x14ac:dyDescent="0.3">
      <c r="A22" s="57" t="s">
        <v>83</v>
      </c>
      <c r="B22" s="57" t="str">
        <f t="shared" ref="B22:J22" si="7">B17</f>
        <v>est.</v>
      </c>
      <c r="C22" s="57" t="str">
        <f t="shared" si="7"/>
        <v>2.5% CI</v>
      </c>
      <c r="D22" s="57" t="str">
        <f t="shared" si="7"/>
        <v>97.5% CI</v>
      </c>
      <c r="E22" s="57" t="str">
        <f t="shared" si="7"/>
        <v>std.error</v>
      </c>
      <c r="F22" s="57" t="str">
        <f t="shared" si="7"/>
        <v>t</v>
      </c>
      <c r="G22" s="57" t="str">
        <f t="shared" si="7"/>
        <v>df</v>
      </c>
      <c r="H22" s="72" t="str">
        <f t="shared" si="7"/>
        <v>p. val.</v>
      </c>
      <c r="I22" s="72" t="str">
        <f t="shared" si="7"/>
        <v>p.adj.</v>
      </c>
      <c r="J22" s="58" t="str">
        <f t="shared" si="7"/>
        <v>sig.</v>
      </c>
      <c r="K22" s="148" t="s">
        <v>64</v>
      </c>
      <c r="L22" s="38"/>
      <c r="Q22" s="71"/>
      <c r="R22" s="71"/>
      <c r="T22" s="38"/>
      <c r="U22" s="38"/>
      <c r="Z22" s="71"/>
      <c r="AA22" s="71"/>
      <c r="AC22" s="38"/>
      <c r="AD22" s="38"/>
      <c r="AI22" s="71"/>
      <c r="AJ22" s="71"/>
      <c r="AL22" s="38"/>
      <c r="AM22" s="38"/>
      <c r="AR22" s="71"/>
      <c r="AS22" s="71"/>
      <c r="AU22" s="38"/>
      <c r="AV22" s="38"/>
      <c r="BA22" s="71"/>
      <c r="BB22" s="71"/>
      <c r="BD22" s="38"/>
      <c r="BE22" s="38"/>
    </row>
    <row r="23" spans="1:57" ht="15.75" customHeight="1" thickTop="1" thickBot="1" x14ac:dyDescent="0.3">
      <c r="A23" s="249" t="s">
        <v>41</v>
      </c>
      <c r="B23" s="249">
        <f>[21]Mode_PA_l_f0_b1!C12</f>
        <v>-0.14699999999999999</v>
      </c>
      <c r="C23" s="249">
        <f>[21]Mode_PA_l_f0_b1!D12</f>
        <v>-1.5892615115800499</v>
      </c>
      <c r="D23" s="249">
        <f>[21]Mode_PA_l_f0_b1!E12</f>
        <v>1.2956835949843299</v>
      </c>
      <c r="E23" s="250">
        <f>[21]Mode_PA_l_f0_b1!F12</f>
        <v>0.73399999999999999</v>
      </c>
      <c r="F23" s="250">
        <f>[21]Mode_PA_l_f0_b1!G12</f>
        <v>-0.2</v>
      </c>
      <c r="G23" s="250">
        <f>[21]Mode_PA_l_f0_b1!H12</f>
        <v>599.91</v>
      </c>
      <c r="H23" s="247">
        <f>[21]Mode_PA_l_f0_b1!I12</f>
        <v>0.84199999999999997</v>
      </c>
      <c r="I23" s="247">
        <f>[21]Mode_PA_l_f0_b1!J12</f>
        <v>0.92900000000000005</v>
      </c>
      <c r="J23" s="248">
        <f>[21]Mode_PA_l_f0_b1!K12</f>
        <v>0</v>
      </c>
      <c r="K23" s="251">
        <f>B23-C23</f>
        <v>1.4422615115800499</v>
      </c>
      <c r="L23" s="38"/>
      <c r="Q23" s="71"/>
      <c r="R23" s="71"/>
      <c r="T23" s="38"/>
      <c r="U23" s="38"/>
      <c r="Z23" s="71"/>
      <c r="AA23" s="71"/>
      <c r="AC23" s="38"/>
      <c r="AD23" s="38"/>
      <c r="AI23" s="71"/>
      <c r="AJ23" s="71"/>
      <c r="AL23" s="38"/>
      <c r="AM23" s="38"/>
      <c r="AR23" s="71"/>
      <c r="AS23" s="71"/>
      <c r="AU23" s="38"/>
      <c r="AV23" s="38"/>
      <c r="BA23" s="71"/>
      <c r="BB23" s="71"/>
      <c r="BD23" s="38"/>
      <c r="BE23" s="38"/>
    </row>
    <row r="24" spans="1:57" ht="15.75" customHeight="1" thickBot="1" x14ac:dyDescent="0.3">
      <c r="A24" s="94" t="s">
        <v>42</v>
      </c>
      <c r="B24" s="94">
        <f>[22]Mode_PA_h_f0_b1!C12</f>
        <v>3.8410000000000002</v>
      </c>
      <c r="C24" s="94">
        <f>[22]Mode_PA_h_f0_b1!D12</f>
        <v>1.7225676832151</v>
      </c>
      <c r="D24" s="94">
        <f>[22]Mode_PA_h_f0_b1!E12</f>
        <v>5.9600122653412102</v>
      </c>
      <c r="E24" s="93">
        <f>[22]Mode_PA_h_f0_b1!F12</f>
        <v>1.079</v>
      </c>
      <c r="F24" s="93">
        <f>[22]Mode_PA_h_f0_b1!G12</f>
        <v>3.5609999999999999</v>
      </c>
      <c r="G24" s="93">
        <f>[22]Mode_PA_h_f0_b1!H12</f>
        <v>610.77</v>
      </c>
      <c r="H24" s="89">
        <f>[22]Mode_PA_h_f0_b1!I12</f>
        <v>4.0000000000000002E-4</v>
      </c>
      <c r="I24" s="89">
        <f>[22]Mode_PA_h_f0_b1!J12</f>
        <v>1E-3</v>
      </c>
      <c r="J24" s="87" t="str">
        <f>[22]Mode_PA_h_f0_b1!K12</f>
        <v>p&lt;0.01</v>
      </c>
      <c r="K24" s="149">
        <f t="shared" ref="K24:K26" si="8">B24-C24</f>
        <v>2.1184323167849</v>
      </c>
      <c r="L24" s="38"/>
      <c r="Q24" s="71"/>
      <c r="R24" s="71"/>
      <c r="T24" s="38"/>
      <c r="U24" s="38"/>
      <c r="Z24" s="71"/>
      <c r="AA24" s="71"/>
      <c r="AC24" s="38"/>
      <c r="AD24" s="38"/>
      <c r="AI24" s="71"/>
      <c r="AJ24" s="71"/>
      <c r="AL24" s="38"/>
      <c r="AM24" s="38"/>
      <c r="AR24" s="71"/>
      <c r="AS24" s="71"/>
      <c r="AU24" s="38"/>
      <c r="AV24" s="38"/>
      <c r="BA24" s="71"/>
      <c r="BB24" s="71"/>
      <c r="BD24" s="38"/>
      <c r="BE24" s="38"/>
    </row>
    <row r="25" spans="1:57" ht="15.75" customHeight="1" thickBot="1" x14ac:dyDescent="0.3">
      <c r="A25" s="85" t="s">
        <v>4</v>
      </c>
      <c r="B25" s="91">
        <f>[23]Mode_PA_l_t_b1!C12</f>
        <v>-15.861000000000001</v>
      </c>
      <c r="C25" s="91">
        <f>[23]Mode_PA_l_t_b1!D12</f>
        <v>-37.137151826048502</v>
      </c>
      <c r="D25" s="91">
        <f>[23]Mode_PA_l_t_b1!E12</f>
        <v>5.41569007626219</v>
      </c>
      <c r="E25" s="90">
        <f>[23]Mode_PA_l_t_b1!F12</f>
        <v>10.834</v>
      </c>
      <c r="F25" s="90">
        <f>[23]Mode_PA_l_t_b1!G12</f>
        <v>-1.464</v>
      </c>
      <c r="G25" s="90">
        <f>[23]Mode_PA_l_t_b1!H12</f>
        <v>608.38</v>
      </c>
      <c r="H25" s="97">
        <f>[23]Mode_PA_l_t_b1!I12</f>
        <v>0.14399999999999999</v>
      </c>
      <c r="I25" s="97">
        <f>[23]Mode_PA_l_t_b1!J12</f>
        <v>0.20599999999999999</v>
      </c>
      <c r="J25" s="87">
        <f>[23]Mode_PA_l_t_b1!K12</f>
        <v>0</v>
      </c>
      <c r="K25" s="149">
        <f t="shared" si="8"/>
        <v>21.276151826048501</v>
      </c>
      <c r="L25" s="38"/>
      <c r="Q25" s="71"/>
      <c r="R25" s="71"/>
      <c r="T25" s="38"/>
      <c r="U25" s="38"/>
      <c r="Z25" s="71"/>
      <c r="AA25" s="71"/>
      <c r="AC25" s="38"/>
      <c r="AD25" s="38"/>
      <c r="AI25" s="71"/>
      <c r="AJ25" s="71"/>
      <c r="AL25" s="38"/>
      <c r="AM25" s="38"/>
      <c r="AR25" s="71"/>
      <c r="AS25" s="71"/>
      <c r="AU25" s="38"/>
      <c r="AV25" s="38"/>
      <c r="BA25" s="71"/>
      <c r="BB25" s="71"/>
      <c r="BD25" s="38"/>
      <c r="BE25" s="38"/>
    </row>
    <row r="26" spans="1:57" ht="15.75" customHeight="1" thickBot="1" x14ac:dyDescent="0.3">
      <c r="A26" s="34" t="s">
        <v>3</v>
      </c>
      <c r="B26" s="259">
        <f>[24]Mode_PA_h_t_b1!C12</f>
        <v>49.276000000000003</v>
      </c>
      <c r="C26" s="85">
        <f>[24]Mode_PA_h_t_b1!D12</f>
        <v>17.576636459691901</v>
      </c>
      <c r="D26" s="85">
        <f>[24]Mode_PA_h_t_b1!E12</f>
        <v>80.975401982322097</v>
      </c>
      <c r="E26" s="84">
        <f>[24]Mode_PA_h_t_b1!F12</f>
        <v>16.140999999999998</v>
      </c>
      <c r="F26" s="84">
        <f>[24]Mode_PA_h_t_b1!G12</f>
        <v>3.0529999999999999</v>
      </c>
      <c r="G26" s="84">
        <f>[24]Mode_PA_h_t_b1!H12</f>
        <v>609.27</v>
      </c>
      <c r="H26" s="186">
        <f>[24]Mode_PA_h_t_b1!I12</f>
        <v>2E-3</v>
      </c>
      <c r="I26" s="186">
        <f>[24]Mode_PA_h_t_b1!J12</f>
        <v>4.0000000000000001E-3</v>
      </c>
      <c r="J26" s="83" t="str">
        <f>[24]Mode_PA_h_t_b1!K12</f>
        <v>p&lt;0.01</v>
      </c>
      <c r="K26" s="149">
        <f t="shared" si="8"/>
        <v>31.699363540308102</v>
      </c>
      <c r="L26" s="38"/>
      <c r="Q26" s="71"/>
      <c r="R26" s="71"/>
      <c r="T26" s="38"/>
      <c r="U26" s="38"/>
      <c r="Z26" s="71"/>
      <c r="AA26" s="71"/>
      <c r="AC26" s="38"/>
      <c r="AD26" s="38"/>
      <c r="AI26" s="71"/>
      <c r="AJ26" s="71"/>
      <c r="AL26" s="38"/>
      <c r="AM26" s="38"/>
      <c r="AR26" s="71"/>
      <c r="AS26" s="71"/>
      <c r="AU26" s="38"/>
      <c r="AV26" s="38"/>
      <c r="BA26" s="71"/>
      <c r="BB26" s="71"/>
      <c r="BD26" s="38"/>
      <c r="BE26" s="38"/>
    </row>
    <row r="27" spans="1:57" ht="15.75" customHeight="1" thickTop="1" thickBot="1" x14ac:dyDescent="0.3">
      <c r="A27" s="57" t="s">
        <v>84</v>
      </c>
      <c r="B27" s="57" t="str">
        <f t="shared" ref="B27:J27" si="9">B22</f>
        <v>est.</v>
      </c>
      <c r="C27" s="57" t="str">
        <f t="shared" si="9"/>
        <v>2.5% CI</v>
      </c>
      <c r="D27" s="57" t="str">
        <f t="shared" si="9"/>
        <v>97.5% CI</v>
      </c>
      <c r="E27" s="57" t="str">
        <f t="shared" si="9"/>
        <v>std.error</v>
      </c>
      <c r="F27" s="57" t="str">
        <f t="shared" si="9"/>
        <v>t</v>
      </c>
      <c r="G27" s="57" t="str">
        <f t="shared" si="9"/>
        <v>df</v>
      </c>
      <c r="H27" s="72" t="str">
        <f t="shared" si="9"/>
        <v>p. val.</v>
      </c>
      <c r="I27" s="72" t="str">
        <f t="shared" si="9"/>
        <v>p.adj.</v>
      </c>
      <c r="J27" s="72" t="str">
        <f t="shared" si="9"/>
        <v>sig.</v>
      </c>
      <c r="K27" s="148" t="s">
        <v>64</v>
      </c>
      <c r="L27" s="38"/>
      <c r="Q27" s="71"/>
      <c r="R27" s="71"/>
      <c r="T27" s="38"/>
      <c r="U27" s="38"/>
      <c r="Z27" s="71"/>
      <c r="AA27" s="71"/>
      <c r="AC27" s="38"/>
      <c r="AD27" s="38"/>
      <c r="AI27" s="71"/>
      <c r="AJ27" s="71"/>
      <c r="AL27" s="38"/>
      <c r="AM27" s="38"/>
      <c r="AR27" s="71"/>
      <c r="AS27" s="71"/>
      <c r="AU27" s="38"/>
      <c r="AV27" s="38"/>
      <c r="BA27" s="71"/>
      <c r="BB27" s="71"/>
      <c r="BD27" s="38"/>
      <c r="BE27" s="38"/>
    </row>
    <row r="28" spans="1:57" ht="15.75" customHeight="1" thickTop="1" thickBot="1" x14ac:dyDescent="0.3">
      <c r="A28" s="253" t="s">
        <v>41</v>
      </c>
      <c r="B28" s="253">
        <f>[21]Mode_PA_l_f0_b1!C13</f>
        <v>2.0169999999999999</v>
      </c>
      <c r="C28" s="253">
        <f>[21]Mode_PA_l_f0_b1!D13</f>
        <v>1.43143752895072</v>
      </c>
      <c r="D28" s="253">
        <f>[21]Mode_PA_l_f0_b1!E13</f>
        <v>2.6023831583079602</v>
      </c>
      <c r="E28" s="254">
        <f>[21]Mode_PA_l_f0_b1!F13</f>
        <v>0.29799999999999999</v>
      </c>
      <c r="F28" s="254">
        <f>[21]Mode_PA_l_f0_b1!G13</f>
        <v>6.766</v>
      </c>
      <c r="G28" s="254">
        <f>[21]Mode_PA_l_f0_b1!H13</f>
        <v>599.44000000000005</v>
      </c>
      <c r="H28" s="257">
        <f>[21]Mode_PA_l_f0_b1!I13</f>
        <v>3.1999999999999999E-11</v>
      </c>
      <c r="I28" s="257">
        <f>[21]Mode_PA_l_f0_b1!J13</f>
        <v>1.5E-10</v>
      </c>
      <c r="J28" s="256" t="str">
        <f>[21]Mode_PA_l_f0_b1!K13</f>
        <v>p&lt;0.0001</v>
      </c>
      <c r="K28" s="149">
        <f>B28-C28</f>
        <v>0.58556247104927994</v>
      </c>
      <c r="L28" s="38"/>
      <c r="Q28" s="71"/>
      <c r="R28" s="71"/>
      <c r="T28" s="38"/>
      <c r="U28" s="38"/>
      <c r="Z28" s="71"/>
      <c r="AA28" s="71"/>
      <c r="AC28" s="38"/>
      <c r="AD28" s="38"/>
      <c r="AI28" s="71"/>
      <c r="AJ28" s="71"/>
      <c r="AL28" s="38"/>
      <c r="AM28" s="38"/>
      <c r="AR28" s="71"/>
      <c r="AS28" s="71"/>
      <c r="AU28" s="38"/>
      <c r="AV28" s="38"/>
      <c r="BA28" s="71"/>
      <c r="BB28" s="71"/>
      <c r="BD28" s="38"/>
      <c r="BE28" s="38"/>
    </row>
    <row r="29" spans="1:57" ht="15.75" customHeight="1" thickBot="1" x14ac:dyDescent="0.3">
      <c r="A29" s="245" t="s">
        <v>42</v>
      </c>
      <c r="B29" s="245">
        <f>[22]Mode_PA_h_f0_b1!C13</f>
        <v>-8.9999999999999993E-3</v>
      </c>
      <c r="C29" s="245">
        <f>[22]Mode_PA_h_f0_b1!D13</f>
        <v>-0.85602073019479297</v>
      </c>
      <c r="D29" s="245">
        <f>[22]Mode_PA_h_f0_b1!E13</f>
        <v>0.83890562219057496</v>
      </c>
      <c r="E29" s="246">
        <f>[22]Mode_PA_h_f0_b1!F13</f>
        <v>0.432</v>
      </c>
      <c r="F29" s="246">
        <f>[22]Mode_PA_h_f0_b1!G13</f>
        <v>-0.02</v>
      </c>
      <c r="G29" s="246">
        <f>[22]Mode_PA_h_f0_b1!H13</f>
        <v>610.48</v>
      </c>
      <c r="H29" s="247">
        <f>[22]Mode_PA_h_f0_b1!I13</f>
        <v>0.98399999999999999</v>
      </c>
      <c r="I29" s="247">
        <f>[22]Mode_PA_h_f0_b1!J13</f>
        <v>0.98399999999999999</v>
      </c>
      <c r="J29" s="248">
        <f>[22]Mode_PA_h_f0_b1!K13</f>
        <v>0</v>
      </c>
      <c r="K29" s="149">
        <f t="shared" ref="K29:K31" si="10">B29-C29</f>
        <v>0.84702073019479296</v>
      </c>
      <c r="L29" s="38"/>
      <c r="Q29" s="71"/>
      <c r="R29" s="71"/>
      <c r="T29" s="38"/>
      <c r="U29" s="38"/>
      <c r="Z29" s="71"/>
      <c r="AA29" s="71"/>
      <c r="AC29" s="38"/>
      <c r="AD29" s="38"/>
      <c r="AI29" s="71"/>
      <c r="AJ29" s="71"/>
      <c r="AL29" s="38"/>
      <c r="AM29" s="38"/>
      <c r="AR29" s="71"/>
      <c r="AS29" s="71"/>
      <c r="AU29" s="38"/>
      <c r="AV29" s="38"/>
      <c r="BA29" s="71"/>
      <c r="BB29" s="71"/>
      <c r="BD29" s="38"/>
      <c r="BE29" s="38"/>
    </row>
    <row r="30" spans="1:57" ht="15.75" customHeight="1" thickBot="1" x14ac:dyDescent="0.3">
      <c r="A30" s="85" t="s">
        <v>4</v>
      </c>
      <c r="B30" s="91">
        <f>[23]Mode_PA_l_t_b1!C13</f>
        <v>2.044</v>
      </c>
      <c r="C30" s="91">
        <f>[23]Mode_PA_l_t_b1!D13</f>
        <v>-6.4797959443461899</v>
      </c>
      <c r="D30" s="91">
        <f>[23]Mode_PA_l_t_b1!E13</f>
        <v>10.5679236230505</v>
      </c>
      <c r="E30" s="90">
        <f>[23]Mode_PA_l_t_b1!F13</f>
        <v>4.34</v>
      </c>
      <c r="F30" s="90">
        <f>[23]Mode_PA_l_t_b1!G13</f>
        <v>0.47099999999999997</v>
      </c>
      <c r="G30" s="90">
        <f>[23]Mode_PA_l_t_b1!H13</f>
        <v>609.01</v>
      </c>
      <c r="H30" s="97">
        <f>[23]Mode_PA_l_t_b1!I13</f>
        <v>0.63800000000000001</v>
      </c>
      <c r="I30" s="97">
        <f>[23]Mode_PA_l_t_b1!J13</f>
        <v>0.72899999999999998</v>
      </c>
      <c r="J30" s="87">
        <f>[23]Mode_PA_l_t_b1!K13</f>
        <v>0</v>
      </c>
      <c r="K30" s="149">
        <f t="shared" si="10"/>
        <v>8.5237959443461904</v>
      </c>
      <c r="L30" s="38"/>
      <c r="Q30" s="71"/>
      <c r="R30" s="71"/>
      <c r="T30" s="38"/>
      <c r="U30" s="38"/>
      <c r="Z30" s="71"/>
      <c r="AA30" s="71"/>
      <c r="AC30" s="38"/>
      <c r="AD30" s="38"/>
      <c r="AI30" s="71"/>
      <c r="AJ30" s="71"/>
      <c r="AL30" s="38"/>
      <c r="AM30" s="38"/>
      <c r="AR30" s="71"/>
      <c r="AS30" s="71"/>
      <c r="AU30" s="38"/>
      <c r="AV30" s="38"/>
      <c r="BA30" s="71"/>
      <c r="BB30" s="71"/>
      <c r="BD30" s="38"/>
      <c r="BE30" s="38"/>
    </row>
    <row r="31" spans="1:57" ht="15.75" customHeight="1" x14ac:dyDescent="0.25">
      <c r="A31" s="34" t="s">
        <v>3</v>
      </c>
      <c r="B31" s="85">
        <f>[24]Mode_PA_h_t_b1!C13</f>
        <v>0.255</v>
      </c>
      <c r="C31" s="85">
        <f>[24]Mode_PA_h_t_b1!D13</f>
        <v>-12.4304474503218</v>
      </c>
      <c r="D31" s="85">
        <f>[24]Mode_PA_h_t_b1!E13</f>
        <v>12.940454542958699</v>
      </c>
      <c r="E31" s="84">
        <f>[24]Mode_PA_h_t_b1!F13</f>
        <v>6.4589999999999996</v>
      </c>
      <c r="F31" s="84">
        <f>[24]Mode_PA_h_t_b1!G13</f>
        <v>3.9E-2</v>
      </c>
      <c r="G31" s="84">
        <f>[24]Mode_PA_h_t_b1!H13</f>
        <v>609.22</v>
      </c>
      <c r="H31" s="187">
        <f>[24]Mode_PA_h_t_b1!I13</f>
        <v>0.96899999999999997</v>
      </c>
      <c r="I31" s="187">
        <f>[24]Mode_PA_h_t_b1!J13</f>
        <v>0.98399999999999999</v>
      </c>
      <c r="J31" s="83">
        <f>[24]Mode_PA_h_t_b1!K13</f>
        <v>0</v>
      </c>
      <c r="K31" s="149">
        <f t="shared" si="10"/>
        <v>12.685447450321801</v>
      </c>
      <c r="L31" s="38"/>
      <c r="Q31" s="71"/>
      <c r="R31" s="71"/>
      <c r="T31" s="38"/>
      <c r="U31" s="38"/>
      <c r="Z31" s="71"/>
      <c r="AA31" s="71"/>
      <c r="AC31" s="38"/>
      <c r="AD31" s="38"/>
      <c r="AI31" s="71"/>
      <c r="AJ31" s="71"/>
      <c r="AL31" s="38"/>
      <c r="AM31" s="38"/>
      <c r="AR31" s="71"/>
      <c r="AS31" s="71"/>
      <c r="AU31" s="38"/>
      <c r="AV31" s="38"/>
      <c r="BA31" s="71"/>
      <c r="BB31" s="71"/>
      <c r="BD31" s="38"/>
      <c r="BE31" s="38"/>
    </row>
  </sheetData>
  <mergeCells count="1">
    <mergeCell ref="A1:J1"/>
  </mergeCells>
  <conditionalFormatting sqref="H3:I6 H13:I16 H8:I11 H28:I31 H23:I26 H18:I21">
    <cfRule type="cellIs" dxfId="134" priority="132" stopIfTrue="1" operator="lessThan">
      <formula>0.0001</formula>
    </cfRule>
    <cfRule type="cellIs" dxfId="133" priority="133" stopIfTrue="1" operator="lessThan">
      <formula>0.001</formula>
    </cfRule>
    <cfRule type="cellIs" dxfId="132" priority="134" stopIfTrue="1" operator="lessThan">
      <formula>0.05</formula>
    </cfRule>
    <cfRule type="cellIs" dxfId="131" priority="135" stopIfTrue="1" operator="lessThan">
      <formula>0.1</formula>
    </cfRule>
  </conditionalFormatting>
  <conditionalFormatting sqref="J3:J6 J13:J16 J8:J11 J28:J31 J23:J26 J18:J21">
    <cfRule type="containsText" dxfId="130" priority="127" stopIfTrue="1" operator="containsText" text="p&lt;0.0001">
      <formula>NOT(ISERROR(SEARCH("p&lt;0.0001",J3)))</formula>
    </cfRule>
    <cfRule type="containsText" dxfId="129" priority="128" stopIfTrue="1" operator="containsText" text="p&lt;0.001">
      <formula>NOT(ISERROR(SEARCH("p&lt;0.001",J3)))</formula>
    </cfRule>
    <cfRule type="containsText" dxfId="128" priority="129" stopIfTrue="1" operator="containsText" text="p&lt;0.01">
      <formula>NOT(ISERROR(SEARCH("p&lt;0.01",J3)))</formula>
    </cfRule>
    <cfRule type="containsText" dxfId="127" priority="130" stopIfTrue="1" operator="containsText" text="p&lt;0.05">
      <formula>NOT(ISERROR(SEARCH("p&lt;0.05",J3)))</formula>
    </cfRule>
    <cfRule type="containsText" dxfId="126" priority="131" stopIfTrue="1" operator="containsText" text="p&lt;0.1">
      <formula>NOT(ISERROR(SEARCH("p&lt;0.1",J3)))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F5:AA33"/>
  <sheetViews>
    <sheetView showGridLines="0" zoomScale="85" zoomScaleNormal="85" workbookViewId="0"/>
  </sheetViews>
  <sheetFormatPr defaultRowHeight="14.4" x14ac:dyDescent="0.3"/>
  <cols>
    <col min="16" max="16" width="3" customWidth="1"/>
    <col min="24" max="24" width="3.6640625" customWidth="1"/>
    <col min="25" max="25" width="3.33203125" customWidth="1"/>
  </cols>
  <sheetData>
    <row r="5" spans="24:27" ht="15" customHeight="1" x14ac:dyDescent="0.3"/>
    <row r="10" spans="24:27" x14ac:dyDescent="0.3">
      <c r="X10" s="5"/>
      <c r="Y10" s="5"/>
      <c r="Z10" s="5"/>
      <c r="AA10" s="5"/>
    </row>
    <row r="33" spans="6:6" x14ac:dyDescent="0.3">
      <c r="F33" t="s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mode B0</vt:lpstr>
      <vt:lpstr>mode B1</vt:lpstr>
      <vt:lpstr>G mode</vt:lpstr>
      <vt:lpstr>mode RTH B0</vt:lpstr>
      <vt:lpstr>mode RTH B1</vt:lpstr>
      <vt:lpstr>G mode RTH</vt:lpstr>
      <vt:lpstr>PA B0</vt:lpstr>
      <vt:lpstr>PA B1</vt:lpstr>
      <vt:lpstr>G PA</vt:lpstr>
      <vt:lpstr>comparisons</vt:lpstr>
      <vt:lpstr>Utt Mode B0</vt:lpstr>
      <vt:lpstr>Utt full B0</vt:lpstr>
      <vt:lpstr>Utt B1</vt:lpstr>
      <vt:lpstr>Utt full B1</vt:lpstr>
      <vt:lpstr>Utt mean betas</vt:lpstr>
      <vt:lpstr>G Utt</vt:lpstr>
      <vt:lpstr>legends</vt:lpstr>
      <vt:lpstr>'mode B1'!Print_Area</vt:lpstr>
      <vt:lpstr>'mode RTH B1'!Print_Area</vt:lpstr>
      <vt:lpstr>'PA B0'!Print_Area</vt:lpstr>
      <vt:lpstr>'PA B1'!Print_Area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2022-09-24T23:54:57Z</dcterms:modified>
</cp:coreProperties>
</file>