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4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6_Form\"/>
    </mc:Choice>
  </mc:AlternateContent>
  <xr:revisionPtr revIDLastSave="0" documentId="13_ncr:1_{3FC56A31-3D50-48FF-8948-2AC099B1349A}" xr6:coauthVersionLast="47" xr6:coauthVersionMax="47" xr10:uidLastSave="{00000000-0000-0000-0000-000000000000}"/>
  <bookViews>
    <workbookView xWindow="-120" yWindow="-120" windowWidth="29040" windowHeight="15720" activeTab="6" xr2:uid="{1ABE4724-14B1-4801-819D-892587CA02C5}"/>
  </bookViews>
  <sheets>
    <sheet name="nuc foot" sheetId="1" r:id="rId1"/>
    <sheet name="nuc pre" sheetId="2" r:id="rId2"/>
    <sheet name="nuc slope exc" sheetId="8" r:id="rId3"/>
    <sheet name="pn foot" sheetId="5" r:id="rId4"/>
    <sheet name="pn ana" sheetId="7" r:id="rId5"/>
    <sheet name="pn slope exc" sheetId="9" r:id="rId6"/>
    <sheet name="PN Word Boundaries" sheetId="10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9" l="1"/>
  <c r="E4" i="9"/>
  <c r="D4" i="9"/>
  <c r="C4" i="9"/>
  <c r="E1" i="9"/>
  <c r="E7" i="9" s="1"/>
  <c r="D1" i="9"/>
  <c r="D7" i="9" s="1"/>
  <c r="C1" i="9"/>
  <c r="C7" i="9" s="1"/>
  <c r="B1" i="9"/>
  <c r="B7" i="9" s="1"/>
  <c r="B23" i="9" s="1"/>
  <c r="F1" i="9"/>
  <c r="E11" i="9"/>
  <c r="D11" i="9"/>
  <c r="C11" i="9"/>
  <c r="B11" i="9"/>
  <c r="B27" i="9" s="1"/>
  <c r="A11" i="9"/>
  <c r="A27" i="9" s="1"/>
  <c r="E10" i="9"/>
  <c r="D10" i="9"/>
  <c r="C10" i="9"/>
  <c r="B10" i="9"/>
  <c r="C19" i="9" s="1"/>
  <c r="D19" i="9" s="1"/>
  <c r="A10" i="9"/>
  <c r="A26" i="9" s="1"/>
  <c r="E9" i="9"/>
  <c r="D9" i="9"/>
  <c r="C9" i="9"/>
  <c r="B9" i="9"/>
  <c r="A9" i="9"/>
  <c r="A25" i="9" s="1"/>
  <c r="E8" i="9"/>
  <c r="D8" i="9"/>
  <c r="C8" i="9"/>
  <c r="F8" i="9" s="1"/>
  <c r="A8" i="9"/>
  <c r="A24" i="9" s="1"/>
  <c r="E5" i="9"/>
  <c r="D5" i="9"/>
  <c r="C5" i="9"/>
  <c r="B5" i="9"/>
  <c r="A5" i="9"/>
  <c r="B4" i="9"/>
  <c r="A4" i="9"/>
  <c r="E3" i="9"/>
  <c r="D3" i="9"/>
  <c r="C3" i="9"/>
  <c r="B3" i="9"/>
  <c r="A3" i="9"/>
  <c r="E2" i="9"/>
  <c r="D2" i="9"/>
  <c r="C2" i="9"/>
  <c r="B2" i="9"/>
  <c r="F2" i="9" s="1"/>
  <c r="A2" i="9"/>
  <c r="A23" i="9"/>
  <c r="D20" i="9"/>
  <c r="D18" i="9"/>
  <c r="B17" i="9"/>
  <c r="B19" i="9" s="1"/>
  <c r="B21" i="9" s="1"/>
  <c r="D16" i="9"/>
  <c r="D14" i="9"/>
  <c r="F3" i="9"/>
  <c r="A22" i="5"/>
  <c r="A16" i="5"/>
  <c r="A9" i="5"/>
  <c r="A3" i="5"/>
  <c r="D20" i="8"/>
  <c r="D18" i="8"/>
  <c r="D16" i="8"/>
  <c r="E11" i="8"/>
  <c r="D11" i="8"/>
  <c r="C11" i="8"/>
  <c r="B11" i="8"/>
  <c r="B27" i="8" s="1"/>
  <c r="E10" i="8"/>
  <c r="D10" i="8"/>
  <c r="C10" i="8"/>
  <c r="B10" i="8"/>
  <c r="B26" i="8" s="1"/>
  <c r="E9" i="8"/>
  <c r="D9" i="8"/>
  <c r="C9" i="8"/>
  <c r="B9" i="8"/>
  <c r="B25" i="8" s="1"/>
  <c r="E8" i="8"/>
  <c r="D8" i="8"/>
  <c r="C8" i="8"/>
  <c r="B8" i="8"/>
  <c r="B24" i="8" s="1"/>
  <c r="D14" i="8"/>
  <c r="A23" i="8"/>
  <c r="B2" i="8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D9" i="7"/>
  <c r="C9" i="7"/>
  <c r="B9" i="7"/>
  <c r="A9" i="7"/>
  <c r="E6" i="7"/>
  <c r="D6" i="7"/>
  <c r="C6" i="7"/>
  <c r="B6" i="7"/>
  <c r="A6" i="7"/>
  <c r="E5" i="7"/>
  <c r="D5" i="7"/>
  <c r="C5" i="7"/>
  <c r="B5" i="7"/>
  <c r="A5" i="7"/>
  <c r="E4" i="7"/>
  <c r="D4" i="7"/>
  <c r="C4" i="7"/>
  <c r="B4" i="7"/>
  <c r="A4" i="7"/>
  <c r="E3" i="7"/>
  <c r="D3" i="7"/>
  <c r="C3" i="7"/>
  <c r="B3" i="7"/>
  <c r="A3" i="7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11" i="8"/>
  <c r="A21" i="8" s="1"/>
  <c r="A20" i="8" s="1"/>
  <c r="A10" i="8"/>
  <c r="A19" i="8" s="1"/>
  <c r="A18" i="8" s="1"/>
  <c r="A9" i="8"/>
  <c r="A17" i="8" s="1"/>
  <c r="A16" i="8" s="1"/>
  <c r="A8" i="8"/>
  <c r="A24" i="8" s="1"/>
  <c r="E5" i="8"/>
  <c r="D5" i="8"/>
  <c r="C5" i="8"/>
  <c r="B5" i="8"/>
  <c r="A5" i="8"/>
  <c r="E4" i="8"/>
  <c r="D4" i="8"/>
  <c r="C4" i="8"/>
  <c r="B4" i="8"/>
  <c r="A4" i="8"/>
  <c r="E3" i="8"/>
  <c r="D3" i="8"/>
  <c r="C3" i="8"/>
  <c r="B3" i="8"/>
  <c r="A3" i="8"/>
  <c r="E2" i="8"/>
  <c r="D2" i="8"/>
  <c r="C2" i="8"/>
  <c r="A2" i="8"/>
  <c r="G38" i="2"/>
  <c r="E38" i="2"/>
  <c r="D38" i="2"/>
  <c r="C38" i="2"/>
  <c r="B38" i="2"/>
  <c r="A38" i="2"/>
  <c r="G37" i="2"/>
  <c r="E37" i="2"/>
  <c r="D37" i="2"/>
  <c r="C37" i="2"/>
  <c r="B37" i="2"/>
  <c r="A37" i="2"/>
  <c r="G36" i="2"/>
  <c r="E36" i="2"/>
  <c r="D36" i="2"/>
  <c r="C36" i="2"/>
  <c r="B36" i="2"/>
  <c r="A36" i="2"/>
  <c r="G35" i="2"/>
  <c r="E35" i="2"/>
  <c r="D35" i="2"/>
  <c r="C35" i="2"/>
  <c r="B35" i="2"/>
  <c r="A35" i="2"/>
  <c r="G32" i="2"/>
  <c r="E32" i="2"/>
  <c r="D32" i="2"/>
  <c r="C32" i="2"/>
  <c r="B32" i="2"/>
  <c r="A32" i="2"/>
  <c r="G31" i="2"/>
  <c r="E31" i="2"/>
  <c r="D31" i="2"/>
  <c r="C31" i="2"/>
  <c r="B31" i="2"/>
  <c r="A31" i="2"/>
  <c r="G30" i="2"/>
  <c r="E30" i="2"/>
  <c r="D30" i="2"/>
  <c r="C30" i="2"/>
  <c r="B30" i="2"/>
  <c r="A30" i="2"/>
  <c r="G29" i="2"/>
  <c r="E29" i="2"/>
  <c r="D29" i="2"/>
  <c r="C29" i="2"/>
  <c r="B29" i="2"/>
  <c r="A29" i="2"/>
  <c r="G25" i="2"/>
  <c r="E25" i="2"/>
  <c r="D25" i="2"/>
  <c r="C25" i="2"/>
  <c r="B25" i="2"/>
  <c r="A25" i="2"/>
  <c r="G24" i="2"/>
  <c r="E24" i="2"/>
  <c r="D24" i="2"/>
  <c r="C24" i="2"/>
  <c r="B24" i="2"/>
  <c r="A24" i="2"/>
  <c r="G23" i="2"/>
  <c r="E23" i="2"/>
  <c r="D23" i="2"/>
  <c r="C23" i="2"/>
  <c r="B23" i="2"/>
  <c r="A23" i="2"/>
  <c r="G22" i="2"/>
  <c r="E22" i="2"/>
  <c r="D22" i="2"/>
  <c r="C22" i="2"/>
  <c r="B22" i="2"/>
  <c r="A22" i="2"/>
  <c r="G19" i="2"/>
  <c r="E19" i="2"/>
  <c r="D19" i="2"/>
  <c r="C19" i="2"/>
  <c r="B19" i="2"/>
  <c r="A19" i="2"/>
  <c r="G18" i="2"/>
  <c r="E18" i="2"/>
  <c r="D18" i="2"/>
  <c r="C18" i="2"/>
  <c r="B18" i="2"/>
  <c r="A18" i="2"/>
  <c r="G17" i="2"/>
  <c r="E17" i="2"/>
  <c r="D17" i="2"/>
  <c r="C17" i="2"/>
  <c r="B17" i="2"/>
  <c r="A17" i="2"/>
  <c r="G16" i="2"/>
  <c r="E16" i="2"/>
  <c r="D16" i="2"/>
  <c r="C16" i="2"/>
  <c r="B16" i="2"/>
  <c r="A16" i="2"/>
  <c r="G12" i="2"/>
  <c r="E12" i="2"/>
  <c r="D12" i="2"/>
  <c r="C12" i="2"/>
  <c r="B12" i="2"/>
  <c r="A12" i="2"/>
  <c r="G11" i="2"/>
  <c r="E11" i="2"/>
  <c r="D11" i="2"/>
  <c r="C11" i="2"/>
  <c r="B11" i="2"/>
  <c r="A11" i="2"/>
  <c r="G10" i="2"/>
  <c r="E10" i="2"/>
  <c r="D10" i="2"/>
  <c r="C10" i="2"/>
  <c r="B10" i="2"/>
  <c r="A10" i="2"/>
  <c r="G9" i="2"/>
  <c r="E9" i="2"/>
  <c r="D9" i="2"/>
  <c r="C9" i="2"/>
  <c r="B9" i="2"/>
  <c r="A9" i="2"/>
  <c r="G6" i="2"/>
  <c r="E6" i="2"/>
  <c r="D6" i="2"/>
  <c r="C6" i="2"/>
  <c r="B6" i="2"/>
  <c r="A6" i="2"/>
  <c r="G5" i="2"/>
  <c r="E5" i="2"/>
  <c r="D5" i="2"/>
  <c r="C5" i="2"/>
  <c r="B5" i="2"/>
  <c r="A5" i="2"/>
  <c r="G4" i="2"/>
  <c r="E4" i="2"/>
  <c r="D4" i="2"/>
  <c r="C4" i="2"/>
  <c r="B4" i="2"/>
  <c r="A4" i="2"/>
  <c r="G3" i="2"/>
  <c r="E3" i="2"/>
  <c r="D3" i="2"/>
  <c r="C3" i="2"/>
  <c r="B3" i="2"/>
  <c r="A3" i="2"/>
  <c r="G38" i="1"/>
  <c r="E38" i="1"/>
  <c r="D38" i="1"/>
  <c r="C38" i="1"/>
  <c r="B38" i="1"/>
  <c r="A38" i="1"/>
  <c r="G37" i="1"/>
  <c r="E37" i="1"/>
  <c r="D37" i="1"/>
  <c r="C37" i="1"/>
  <c r="B37" i="1"/>
  <c r="A37" i="1"/>
  <c r="G36" i="1"/>
  <c r="E36" i="1"/>
  <c r="D36" i="1"/>
  <c r="C36" i="1"/>
  <c r="B36" i="1"/>
  <c r="A36" i="1"/>
  <c r="G35" i="1"/>
  <c r="E35" i="1"/>
  <c r="D35" i="1"/>
  <c r="C35" i="1"/>
  <c r="B35" i="1"/>
  <c r="A35" i="1"/>
  <c r="G32" i="1"/>
  <c r="E32" i="1"/>
  <c r="D32" i="1"/>
  <c r="C32" i="1"/>
  <c r="B32" i="1"/>
  <c r="A32" i="1"/>
  <c r="G31" i="1"/>
  <c r="E31" i="1"/>
  <c r="D31" i="1"/>
  <c r="C31" i="1"/>
  <c r="B31" i="1"/>
  <c r="A31" i="1"/>
  <c r="G30" i="1"/>
  <c r="E30" i="1"/>
  <c r="D30" i="1"/>
  <c r="C30" i="1"/>
  <c r="B30" i="1"/>
  <c r="A30" i="1"/>
  <c r="G29" i="1"/>
  <c r="E29" i="1"/>
  <c r="D29" i="1"/>
  <c r="C29" i="1"/>
  <c r="B29" i="1"/>
  <c r="A29" i="1"/>
  <c r="G25" i="1"/>
  <c r="E25" i="1"/>
  <c r="D25" i="1"/>
  <c r="C25" i="1"/>
  <c r="B25" i="1"/>
  <c r="A25" i="1"/>
  <c r="G24" i="1"/>
  <c r="E24" i="1"/>
  <c r="D24" i="1"/>
  <c r="C24" i="1"/>
  <c r="B24" i="1"/>
  <c r="A24" i="1"/>
  <c r="G23" i="1"/>
  <c r="E23" i="1"/>
  <c r="D23" i="1"/>
  <c r="C23" i="1"/>
  <c r="B23" i="1"/>
  <c r="A23" i="1"/>
  <c r="G22" i="1"/>
  <c r="E22" i="1"/>
  <c r="D22" i="1"/>
  <c r="C22" i="1"/>
  <c r="B22" i="1"/>
  <c r="A22" i="1"/>
  <c r="G19" i="1"/>
  <c r="E19" i="1"/>
  <c r="D19" i="1"/>
  <c r="C19" i="1"/>
  <c r="B19" i="1"/>
  <c r="A19" i="1"/>
  <c r="G18" i="1"/>
  <c r="E18" i="1"/>
  <c r="D18" i="1"/>
  <c r="C18" i="1"/>
  <c r="B18" i="1"/>
  <c r="A18" i="1"/>
  <c r="G17" i="1"/>
  <c r="E17" i="1"/>
  <c r="D17" i="1"/>
  <c r="C17" i="1"/>
  <c r="B17" i="1"/>
  <c r="A17" i="1"/>
  <c r="G16" i="1"/>
  <c r="E16" i="1"/>
  <c r="D16" i="1"/>
  <c r="C16" i="1"/>
  <c r="B16" i="1"/>
  <c r="A16" i="1"/>
  <c r="G12" i="1"/>
  <c r="E12" i="1"/>
  <c r="D12" i="1"/>
  <c r="C12" i="1"/>
  <c r="B12" i="1"/>
  <c r="A12" i="1"/>
  <c r="G11" i="1"/>
  <c r="E11" i="1"/>
  <c r="D11" i="1"/>
  <c r="C11" i="1"/>
  <c r="B11" i="1"/>
  <c r="A11" i="1"/>
  <c r="G10" i="1"/>
  <c r="E10" i="1"/>
  <c r="D10" i="1"/>
  <c r="C10" i="1"/>
  <c r="B10" i="1"/>
  <c r="A10" i="1"/>
  <c r="G9" i="1"/>
  <c r="E9" i="1"/>
  <c r="D9" i="1"/>
  <c r="C9" i="1"/>
  <c r="B9" i="1"/>
  <c r="A9" i="1"/>
  <c r="G6" i="1"/>
  <c r="E6" i="1"/>
  <c r="D6" i="1"/>
  <c r="C6" i="1"/>
  <c r="B6" i="1"/>
  <c r="A6" i="1"/>
  <c r="G5" i="1"/>
  <c r="E5" i="1"/>
  <c r="D5" i="1"/>
  <c r="C5" i="1"/>
  <c r="B5" i="1"/>
  <c r="A5" i="1"/>
  <c r="G4" i="1"/>
  <c r="E4" i="1"/>
  <c r="D4" i="1"/>
  <c r="C4" i="1"/>
  <c r="B4" i="1"/>
  <c r="A4" i="1"/>
  <c r="G3" i="1"/>
  <c r="E3" i="1"/>
  <c r="D3" i="1"/>
  <c r="C3" i="1"/>
  <c r="B3" i="1"/>
  <c r="A3" i="1"/>
  <c r="B17" i="8"/>
  <c r="B19" i="8" s="1"/>
  <c r="B21" i="8" s="1"/>
  <c r="F7" i="8"/>
  <c r="F1" i="8" s="1"/>
  <c r="E7" i="8"/>
  <c r="E1" i="8" s="1"/>
  <c r="D7" i="8"/>
  <c r="D1" i="8" s="1"/>
  <c r="C7" i="8"/>
  <c r="C1" i="8" s="1"/>
  <c r="B7" i="8"/>
  <c r="B1" i="8" s="1"/>
  <c r="F9" i="9" l="1"/>
  <c r="F5" i="9"/>
  <c r="F4" i="9"/>
  <c r="B25" i="9"/>
  <c r="A15" i="9"/>
  <c r="A14" i="9" s="1"/>
  <c r="C15" i="9"/>
  <c r="D15" i="9" s="1"/>
  <c r="A21" i="9"/>
  <c r="A20" i="9" s="1"/>
  <c r="C21" i="9"/>
  <c r="D21" i="9" s="1"/>
  <c r="A17" i="9"/>
  <c r="A16" i="9" s="1"/>
  <c r="F10" i="9"/>
  <c r="C17" i="9"/>
  <c r="D17" i="9" s="1"/>
  <c r="B24" i="9"/>
  <c r="A19" i="9"/>
  <c r="A18" i="9" s="1"/>
  <c r="B26" i="9"/>
  <c r="F11" i="9"/>
  <c r="C21" i="8"/>
  <c r="D21" i="8" s="1"/>
  <c r="C19" i="8"/>
  <c r="D19" i="8" s="1"/>
  <c r="C17" i="8"/>
  <c r="D17" i="8" s="1"/>
  <c r="B23" i="8"/>
  <c r="A25" i="8"/>
  <c r="A26" i="8"/>
  <c r="C15" i="8"/>
  <c r="D15" i="8" s="1"/>
  <c r="A15" i="8"/>
  <c r="A14" i="8" s="1"/>
  <c r="A27" i="8"/>
  <c r="F2" i="8"/>
  <c r="F8" i="8"/>
  <c r="F5" i="8"/>
  <c r="F3" i="8"/>
  <c r="F11" i="8"/>
  <c r="F9" i="8"/>
  <c r="F10" i="8"/>
  <c r="F4" i="8"/>
  <c r="H38" i="2" l="1"/>
  <c r="H37" i="2"/>
  <c r="H36" i="2"/>
  <c r="H35" i="2"/>
  <c r="H29" i="2"/>
  <c r="H32" i="2"/>
  <c r="H31" i="2"/>
  <c r="H30" i="2"/>
  <c r="H22" i="2"/>
  <c r="H25" i="2"/>
  <c r="H24" i="2"/>
  <c r="H23" i="2"/>
  <c r="H16" i="2"/>
  <c r="H19" i="2"/>
  <c r="H18" i="2"/>
  <c r="H17" i="2"/>
  <c r="H9" i="2"/>
  <c r="H12" i="2"/>
  <c r="H11" i="2"/>
  <c r="H10" i="2"/>
  <c r="H3" i="2"/>
  <c r="H6" i="2"/>
  <c r="H5" i="2"/>
  <c r="H4" i="2"/>
  <c r="H38" i="1"/>
  <c r="H37" i="1"/>
  <c r="H36" i="1"/>
  <c r="H35" i="1"/>
  <c r="H32" i="1"/>
  <c r="H31" i="1"/>
  <c r="H30" i="1"/>
  <c r="H29" i="1"/>
  <c r="H25" i="1"/>
  <c r="H24" i="1"/>
  <c r="H23" i="1"/>
  <c r="H22" i="1"/>
  <c r="H19" i="1"/>
  <c r="H18" i="1"/>
  <c r="H17" i="1"/>
  <c r="H16" i="1"/>
  <c r="H12" i="1"/>
  <c r="H11" i="1"/>
  <c r="H10" i="1"/>
  <c r="H9" i="1"/>
  <c r="H6" i="1"/>
  <c r="H5" i="1"/>
  <c r="H4" i="1"/>
  <c r="H3" i="1"/>
  <c r="F21" i="7"/>
  <c r="E21" i="7"/>
  <c r="D21" i="7"/>
  <c r="C21" i="7"/>
  <c r="B21" i="7"/>
  <c r="F15" i="7"/>
  <c r="E15" i="7"/>
  <c r="D15" i="7"/>
  <c r="C15" i="7"/>
  <c r="B15" i="7"/>
  <c r="F8" i="7"/>
  <c r="E8" i="7"/>
  <c r="D8" i="7"/>
  <c r="C8" i="7"/>
  <c r="B8" i="7"/>
  <c r="F21" i="5"/>
  <c r="E21" i="5"/>
  <c r="D21" i="5"/>
  <c r="C21" i="5"/>
  <c r="B21" i="5"/>
  <c r="F15" i="5"/>
  <c r="E15" i="5"/>
  <c r="D15" i="5"/>
  <c r="C15" i="5"/>
  <c r="B15" i="5"/>
  <c r="F8" i="5"/>
  <c r="E8" i="5"/>
  <c r="D8" i="5"/>
  <c r="C8" i="5"/>
  <c r="B8" i="5"/>
  <c r="B15" i="2"/>
  <c r="H34" i="2"/>
  <c r="F34" i="2"/>
  <c r="E34" i="2"/>
  <c r="D34" i="2"/>
  <c r="C34" i="2"/>
  <c r="B34" i="2"/>
  <c r="I34" i="2" s="1"/>
  <c r="H28" i="2"/>
  <c r="F28" i="2"/>
  <c r="E28" i="2"/>
  <c r="D28" i="2"/>
  <c r="C28" i="2"/>
  <c r="B28" i="2"/>
  <c r="I28" i="2" s="1"/>
  <c r="I21" i="2"/>
  <c r="H21" i="2"/>
  <c r="F21" i="2"/>
  <c r="E21" i="2"/>
  <c r="D21" i="2"/>
  <c r="C21" i="2"/>
  <c r="B21" i="2"/>
  <c r="I15" i="2"/>
  <c r="H15" i="2"/>
  <c r="F15" i="2"/>
  <c r="E15" i="2"/>
  <c r="D15" i="2"/>
  <c r="C15" i="2"/>
  <c r="H8" i="2"/>
  <c r="F8" i="2"/>
  <c r="E8" i="2"/>
  <c r="D8" i="2"/>
  <c r="C8" i="2"/>
  <c r="B8" i="2"/>
  <c r="I8" i="2" s="1"/>
  <c r="I2" i="2"/>
  <c r="H2" i="2"/>
  <c r="H34" i="1"/>
  <c r="H28" i="1"/>
  <c r="H21" i="1"/>
  <c r="H15" i="1"/>
  <c r="H8" i="1"/>
  <c r="H2" i="1"/>
  <c r="I2" i="1"/>
  <c r="F34" i="1"/>
  <c r="F28" i="1"/>
  <c r="F21" i="1"/>
  <c r="F15" i="1"/>
  <c r="F8" i="1"/>
  <c r="E34" i="1"/>
  <c r="D34" i="1"/>
  <c r="C34" i="1"/>
  <c r="E28" i="1"/>
  <c r="D28" i="1"/>
  <c r="C28" i="1"/>
  <c r="E21" i="1"/>
  <c r="D21" i="1"/>
  <c r="C21" i="1"/>
  <c r="E15" i="1"/>
  <c r="D15" i="1"/>
  <c r="C15" i="1"/>
  <c r="E8" i="1"/>
  <c r="D8" i="1"/>
  <c r="C8" i="1"/>
  <c r="B34" i="1"/>
  <c r="I34" i="1" s="1"/>
  <c r="B28" i="1"/>
  <c r="I28" i="1" s="1"/>
  <c r="B21" i="1"/>
  <c r="I21" i="1" s="1"/>
  <c r="B15" i="1"/>
  <c r="I15" i="1" s="1"/>
  <c r="B8" i="1"/>
  <c r="I8" i="1" s="1"/>
  <c r="F18" i="7" l="1"/>
  <c r="I24" i="2"/>
  <c r="F29" i="2"/>
  <c r="I37" i="2"/>
  <c r="I19" i="1"/>
  <c r="F5" i="2"/>
  <c r="I3" i="2"/>
  <c r="F10" i="7"/>
  <c r="F24" i="7"/>
  <c r="F4" i="7"/>
  <c r="F17" i="7"/>
  <c r="F16" i="7"/>
  <c r="I31" i="2"/>
  <c r="I29" i="2"/>
  <c r="I32" i="2"/>
  <c r="F32" i="2"/>
  <c r="F17" i="2"/>
  <c r="I9" i="2"/>
  <c r="F12" i="2"/>
  <c r="F3" i="7"/>
  <c r="F5" i="7"/>
  <c r="F6" i="7"/>
  <c r="F11" i="7"/>
  <c r="F9" i="7"/>
  <c r="F12" i="7"/>
  <c r="F23" i="7"/>
  <c r="F19" i="7"/>
  <c r="F25" i="7"/>
  <c r="I36" i="2"/>
  <c r="F38" i="2"/>
  <c r="I22" i="2"/>
  <c r="F9" i="2"/>
  <c r="F22" i="7"/>
  <c r="F11" i="5"/>
  <c r="F4" i="5"/>
  <c r="F25" i="5"/>
  <c r="F23" i="5"/>
  <c r="F22" i="5"/>
  <c r="F10" i="5"/>
  <c r="F16" i="2"/>
  <c r="F17" i="5"/>
  <c r="F19" i="5"/>
  <c r="F16" i="5"/>
  <c r="F18" i="5"/>
  <c r="F5" i="5"/>
  <c r="F3" i="5"/>
  <c r="F6" i="5"/>
  <c r="F24" i="5"/>
  <c r="F9" i="5"/>
  <c r="F12" i="5"/>
  <c r="I35" i="2"/>
  <c r="F35" i="2"/>
  <c r="F35" i="1"/>
  <c r="I30" i="2"/>
  <c r="F36" i="2"/>
  <c r="I29" i="1"/>
  <c r="I38" i="2"/>
  <c r="F31" i="2"/>
  <c r="I23" i="2"/>
  <c r="I25" i="2"/>
  <c r="F23" i="2"/>
  <c r="F24" i="2"/>
  <c r="I19" i="2"/>
  <c r="F18" i="2"/>
  <c r="I10" i="2"/>
  <c r="I17" i="2"/>
  <c r="I18" i="2"/>
  <c r="I11" i="2"/>
  <c r="F10" i="2"/>
  <c r="I4" i="2"/>
  <c r="I6" i="2"/>
  <c r="I12" i="2"/>
  <c r="I5" i="2"/>
  <c r="F3" i="2"/>
  <c r="F6" i="2"/>
  <c r="F11" i="2"/>
  <c r="F37" i="2"/>
  <c r="F19" i="2"/>
  <c r="F4" i="2"/>
  <c r="F30" i="2"/>
  <c r="I16" i="2"/>
  <c r="F22" i="2"/>
  <c r="F25" i="2"/>
  <c r="I38" i="1"/>
  <c r="F5" i="1"/>
  <c r="F24" i="1"/>
  <c r="I18" i="1"/>
  <c r="I31" i="1"/>
  <c r="F9" i="1"/>
  <c r="F18" i="1"/>
  <c r="F11" i="1"/>
  <c r="I16" i="1"/>
  <c r="F17" i="1"/>
  <c r="F25" i="1"/>
  <c r="F36" i="1"/>
  <c r="I4" i="1"/>
  <c r="I3" i="1"/>
  <c r="I6" i="1"/>
  <c r="I10" i="1"/>
  <c r="I23" i="1"/>
  <c r="I22" i="1"/>
  <c r="I35" i="1"/>
  <c r="I30" i="1"/>
  <c r="F12" i="1"/>
  <c r="F32" i="1"/>
  <c r="I24" i="1"/>
  <c r="I37" i="1"/>
  <c r="F19" i="1"/>
  <c r="I12" i="1"/>
  <c r="F31" i="1"/>
  <c r="I5" i="1"/>
  <c r="I25" i="1"/>
  <c r="I17" i="1"/>
  <c r="I32" i="1"/>
  <c r="I9" i="1"/>
  <c r="I36" i="1"/>
  <c r="I11" i="1"/>
  <c r="F4" i="1"/>
  <c r="F23" i="1"/>
  <c r="F37" i="1"/>
  <c r="F10" i="1"/>
  <c r="F30" i="1"/>
  <c r="F38" i="1"/>
  <c r="F3" i="1"/>
  <c r="F6" i="1"/>
  <c r="F29" i="1"/>
  <c r="F22" i="1"/>
  <c r="F16" i="1"/>
</calcChain>
</file>

<file path=xl/sharedStrings.xml><?xml version="1.0" encoding="utf-8"?>
<sst xmlns="http://schemas.openxmlformats.org/spreadsheetml/2006/main" count="101" uniqueCount="41">
  <si>
    <t>l_t</t>
  </si>
  <si>
    <t>l_f0</t>
  </si>
  <si>
    <t>h_t</t>
  </si>
  <si>
    <t>h_f0</t>
  </si>
  <si>
    <t>e_t</t>
  </si>
  <si>
    <t>e_f0</t>
  </si>
  <si>
    <t>predicted</t>
  </si>
  <si>
    <t>conf.low</t>
  </si>
  <si>
    <t>conf.high</t>
  </si>
  <si>
    <t>std.error</t>
  </si>
  <si>
    <t>CI diff</t>
  </si>
  <si>
    <t>L fin phon</t>
  </si>
  <si>
    <t>%</t>
  </si>
  <si>
    <t>L%</t>
  </si>
  <si>
    <t>AA</t>
  </si>
  <si>
    <t>H in L*H L%</t>
  </si>
  <si>
    <t>L in L*H %</t>
  </si>
  <si>
    <t>L in L*H L%</t>
  </si>
  <si>
    <t>H in L*H %</t>
  </si>
  <si>
    <t>f0_exc</t>
  </si>
  <si>
    <t>lh_slope</t>
  </si>
  <si>
    <t>x</t>
  </si>
  <si>
    <t>y</t>
  </si>
  <si>
    <t xml:space="preserve">   </t>
  </si>
  <si>
    <t>NB</t>
  </si>
  <si>
    <t>exp(log_lh_slope)</t>
  </si>
  <si>
    <t>Total</t>
  </si>
  <si>
    <t>Elaina’s a</t>
  </si>
  <si>
    <t>Elaine was a</t>
  </si>
  <si>
    <t>Valerie’s is</t>
  </si>
  <si>
    <t>Lally’s is in-</t>
  </si>
  <si>
    <t>Lally’s is</t>
  </si>
  <si>
    <t>Val’s is in-</t>
  </si>
  <si>
    <t>H*</t>
  </si>
  <si>
    <t>&gt;H*</t>
  </si>
  <si>
    <t>L*H</t>
  </si>
  <si>
    <t>(*)</t>
  </si>
  <si>
    <t>word-end syl.</t>
  </si>
  <si>
    <t>anacr.</t>
  </si>
  <si>
    <t>pairing</t>
  </si>
  <si>
    <t>pre-nuclear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</si>
</sst>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\ &quot;ms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F4E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3F9F8"/>
        <bgColor indexed="64"/>
      </patternFill>
    </fill>
    <fill>
      <patternFill patternType="solid">
        <fgColor rgb="FF6CC283"/>
        <bgColor indexed="64"/>
      </patternFill>
    </fill>
    <fill>
      <patternFill patternType="solid">
        <fgColor rgb="FFC8E7D3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94D2A6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6DC283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73C589"/>
        <bgColor indexed="64"/>
      </patternFill>
    </fill>
    <fill>
      <patternFill patternType="solid">
        <fgColor rgb="FF75C68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0CECE"/>
      </bottom>
      <diagonal/>
    </border>
    <border>
      <left/>
      <right/>
      <top/>
      <bottom style="thick">
        <color rgb="FFD0CECE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5" fontId="1" fillId="0" borderId="0" xfId="0" quotePrefix="1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0" fillId="0" borderId="0" xfId="0" applyBorder="1"/>
    <xf numFmtId="0" fontId="8" fillId="5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5" borderId="5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 wrapText="1"/>
    </xf>
    <xf numFmtId="0" fontId="8" fillId="18" borderId="5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center" vertical="center" wrapText="1"/>
    </xf>
    <xf numFmtId="0" fontId="8" fillId="19" borderId="6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8" fillId="6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CFC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>
        <left/>
        <right/>
        <top/>
        <bottom style="medium">
          <color rgb="FFD0CECE"/>
        </bottom>
        <vertical/>
        <horizontal/>
      </border>
    </dxf>
    <dxf>
      <border outline="0">
        <bottom style="thick">
          <color rgb="FFD0CEC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C8D62"/>
      <color rgb="FFD95F02"/>
      <color rgb="FF1B9E77"/>
      <color rgb="FF47298A"/>
      <color rgb="FF7570B3"/>
      <color rgb="FFE7298A"/>
      <color rgb="FFFFCC66"/>
      <color rgb="FFF2F2F2"/>
      <color rgb="FF805DC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foot syls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7-4AE2-9668-59E21D030DC9}"/>
            </c:ext>
          </c:extLst>
        </c:ser>
        <c:ser>
          <c:idx val="2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87-4AE2-9668-59E21D030DC9}"/>
            </c:ext>
          </c:extLst>
        </c:ser>
        <c:ser>
          <c:idx val="3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87-4AE2-9668-59E21D030DC9}"/>
            </c:ext>
          </c:extLst>
        </c:ser>
        <c:ser>
          <c:idx val="0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7-4AE2-9668-59E21D030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foot</a:t>
            </a:r>
            <a:r>
              <a:rPr lang="en-US" sz="1000" b="0" baseline="0"/>
              <a:t> syls</a:t>
            </a:r>
            <a:endParaRPr lang="en-US" sz="1000" b="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0-427F-9E3E-BB50019C65B2}"/>
            </c:ext>
          </c:extLst>
        </c:ser>
        <c:ser>
          <c:idx val="2"/>
          <c:order val="1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0-427F-9E3E-BB50019C65B2}"/>
            </c:ext>
          </c:extLst>
        </c:ser>
        <c:ser>
          <c:idx val="3"/>
          <c:order val="2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0-427F-9E3E-BB50019C65B2}"/>
            </c:ext>
          </c:extLst>
        </c:ser>
        <c:ser>
          <c:idx val="0"/>
          <c:order val="3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0-427F-9E3E-BB50019C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v>L*H L%</c:v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64-48D0-A69D-5A69BDA276CA}"/>
            </c:ext>
          </c:extLst>
        </c:ser>
        <c:ser>
          <c:idx val="0"/>
          <c:order val="7"/>
          <c:tx>
            <c:v>L*H %</c:v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364-48D0-A69D-5A69BDA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foot'!$A$1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364-48D0-A69D-5A69BDA276CA}"/>
                  </c:ext>
                </c:extLst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foot'!$G$1</c15:sqref>
                        </c15:formulaRef>
                      </c:ext>
                    </c:extLst>
                    <c:strCache>
                      <c:ptCount val="1"/>
                      <c:pt idx="0">
                        <c:v>L%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6"/>
                  <c:spPr>
                    <a:pattFill prst="pct25">
                      <a:fgClr>
                        <a:schemeClr val="bg1"/>
                      </a:fgClr>
                      <a:bgClr>
                        <a:srgbClr val="1B9E77"/>
                      </a:bgClr>
                    </a:pattFill>
                    <a:ln>
                      <a:solidFill>
                        <a:srgbClr val="1B9E77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64-48D0-A69D-5A69BDA276CA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64-48D0-A69D-5A69BDA276CA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4-48D0-A69D-5A69BDA276CA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4-48D0-A69D-5A69BDA276CA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4-48D0-A69D-5A69BDA276CA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  <c:minorUnit val="50"/>
      </c:valAx>
      <c:valAx>
        <c:axId val="501389184"/>
        <c:scaling>
          <c:orientation val="minMax"/>
          <c:max val="9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3397990063359519"/>
          <c:y val="0.60069714533023755"/>
          <c:w val="0.30458999999999997"/>
          <c:h val="0.16389137645107793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1-4C4E-ABA7-49F7FA9EE8F6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1-4C4E-ABA7-49F7FA9EE8F6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1-4C4E-ABA7-49F7FA9EE8F6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1-4C4E-ABA7-49F7FA9EE8F6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1-4C4E-ABA7-49F7FA9EE8F6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E1-4C4E-ABA7-49F7FA9EE8F6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E1-4C4E-ABA7-49F7FA9EE8F6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1-4C4E-ABA7-49F7FA9E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7-482B-A046-51B94055CEB1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7-482B-A046-51B94055CEB1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57-482B-A046-51B94055CEB1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noFill/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57-482B-A046-51B94055CEB1}"/>
            </c:ext>
          </c:extLst>
        </c:ser>
        <c:ser>
          <c:idx val="1"/>
          <c:order val="4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57-482B-A046-51B94055CEB1}"/>
            </c:ext>
          </c:extLst>
        </c:ser>
        <c:ser>
          <c:idx val="2"/>
          <c:order val="5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57-482B-A046-51B94055CEB1}"/>
            </c:ext>
          </c:extLst>
        </c:ser>
        <c:ser>
          <c:idx val="3"/>
          <c:order val="6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57-482B-A046-51B94055CEB1}"/>
            </c:ext>
          </c:extLst>
        </c:ser>
        <c:ser>
          <c:idx val="0"/>
          <c:order val="7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57-482B-A046-51B94055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4-4293-B724-DB898C4F3522}"/>
            </c:ext>
          </c:extLst>
        </c:ser>
        <c:ser>
          <c:idx val="5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4-4293-B724-DB898C4F3522}"/>
            </c:ext>
          </c:extLst>
        </c:ser>
        <c:ser>
          <c:idx val="6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4-4293-B724-DB898C4F3522}"/>
            </c:ext>
          </c:extLst>
        </c:ser>
        <c:ser>
          <c:idx val="7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4-4293-B724-DB898C4F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4"/>
                <c:tx>
                  <c:strRef>
                    <c:extLst>
                      <c:ext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934-4293-B724-DB898C4F352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934-4293-B724-DB898C4F352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934-4293-B724-DB898C4F352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934-4293-B724-DB898C4F352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8827211114483964"/>
          <c:y val="5.1780265339966838E-2"/>
          <c:w val="0.38745140207193424"/>
          <c:h val="0.269864013266998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L*H L%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pre'!$H$3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pattFill prst="pct50">
                <a:fgClr>
                  <a:srgbClr val="1B9E77"/>
                </a:fgClr>
                <a:bgClr>
                  <a:schemeClr val="bg1"/>
                </a:bgClr>
              </a:pattFill>
              <a:ln w="9525">
                <a:solidFill>
                  <a:srgbClr val="1B9E77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1-496B-B47C-A3753477F90F}"/>
            </c:ext>
          </c:extLst>
        </c:ser>
        <c:ser>
          <c:idx val="2"/>
          <c:order val="1"/>
          <c:tx>
            <c:strRef>
              <c:f>'nuc pre'!$H$4</c:f>
              <c:strCache>
                <c:ptCount val="1"/>
                <c:pt idx="0">
                  <c:v>pre_1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9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 w="9525">
                <a:solidFill>
                  <a:srgbClr val="D95F0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1-496B-B47C-A3753477F90F}"/>
            </c:ext>
          </c:extLst>
        </c:ser>
        <c:ser>
          <c:idx val="3"/>
          <c:order val="2"/>
          <c:tx>
            <c:strRef>
              <c:f>'nuc pre'!$H$5</c:f>
              <c:strCache>
                <c:ptCount val="1"/>
                <c:pt idx="0">
                  <c:v>pre_2</c:v>
                </c:pt>
              </c:strCache>
            </c:strRef>
          </c:tx>
          <c:spPr>
            <a:ln>
              <a:solidFill>
                <a:srgbClr val="47298A"/>
              </a:solidFill>
            </a:ln>
          </c:spPr>
          <c:marker>
            <c:symbol val="triangle"/>
            <c:size val="8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1-496B-B47C-A3753477F90F}"/>
            </c:ext>
          </c:extLst>
        </c:ser>
        <c:ser>
          <c:idx val="0"/>
          <c:order val="3"/>
          <c:tx>
            <c:strRef>
              <c:f>'nuc pre'!$H$6</c:f>
              <c:strCache>
                <c:ptCount val="1"/>
                <c:pt idx="0">
                  <c:v>pre_3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 w="9525">
                <a:solidFill>
                  <a:srgbClr val="E7298A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11-496B-B47C-A3753477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i="1"/>
                  <a:t>f</a:t>
                </a:r>
                <a:r>
                  <a:rPr lang="en-US" i="1" baseline="-25000"/>
                  <a:t>0</a:t>
                </a:r>
                <a:r>
                  <a:rPr lang="en-US" i="1"/>
                  <a:t> </a:t>
                </a:r>
                <a:r>
                  <a:rPr lang="en-US" i="0"/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386831545525794"/>
          <c:y val="0.15182172470978444"/>
          <c:w val="0.3105502182655621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1-prel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C-4CA4-AF70-A1512BA9690D}"/>
            </c:ext>
          </c:extLst>
        </c:ser>
        <c:ser>
          <c:idx val="5"/>
          <c:order val="2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pre'!$I$4,'nuc pre'!$I$17,'nuc pre'!$I$30)</c:f>
              <c:numCache>
                <c:formatCode>0</c:formatCode>
                <c:ptCount val="3"/>
                <c:pt idx="0">
                  <c:v>99.201000000000008</c:v>
                </c:pt>
                <c:pt idx="1">
                  <c:v>202.13300000000001</c:v>
                </c:pt>
                <c:pt idx="2">
                  <c:v>234.59700000000001</c:v>
                </c:pt>
              </c:numCache>
            </c:numRef>
          </c:xVal>
          <c:yVal>
            <c:numRef>
              <c:f>('nuc pre'!$I$10,'nuc pre'!$I$23,'nuc pre'!$I$36)</c:f>
              <c:numCache>
                <c:formatCode>0.0</c:formatCode>
                <c:ptCount val="3"/>
                <c:pt idx="0">
                  <c:v>83.108999999999995</c:v>
                </c:pt>
                <c:pt idx="1">
                  <c:v>87.378</c:v>
                </c:pt>
                <c:pt idx="2">
                  <c:v>81.51400000000001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C-4CA4-AF70-A1512BA9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89C-4CA4-AF70-A1512BA9690D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9C-4CA4-AF70-A1512BA9690D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89C-4CA4-AF70-A1512BA9690D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89C-4CA4-AF70-A1512BA9690D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89C-4CA4-AF70-A1512BA9690D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89C-4CA4-AF70-A1512BA9690D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A-4E1B-9A8E-CA28498A16D9}"/>
            </c:ext>
          </c:extLst>
        </c:ser>
        <c:ser>
          <c:idx val="6"/>
          <c:order val="3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pre'!$I$5,'nuc pre'!$I$18,'nuc pre'!$I$31)</c:f>
              <c:numCache>
                <c:formatCode>0</c:formatCode>
                <c:ptCount val="3"/>
                <c:pt idx="0">
                  <c:v>95.17</c:v>
                </c:pt>
                <c:pt idx="1">
                  <c:v>212.63800000000001</c:v>
                </c:pt>
                <c:pt idx="2">
                  <c:v>261.06100000000004</c:v>
                </c:pt>
              </c:numCache>
            </c:numRef>
          </c:xVal>
          <c:yVal>
            <c:numRef>
              <c:f>('nuc pre'!$I$11,'nuc pre'!$I$24,'nuc pre'!$I$37)</c:f>
              <c:numCache>
                <c:formatCode>0.0</c:formatCode>
                <c:ptCount val="3"/>
                <c:pt idx="0">
                  <c:v>82.838999999999999</c:v>
                </c:pt>
                <c:pt idx="1">
                  <c:v>87.668999999999997</c:v>
                </c:pt>
                <c:pt idx="2">
                  <c:v>81.211000000000013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7A-4E1B-9A8E-CA28498A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77A-4E1B-9A8E-CA28498A16D9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77A-4E1B-9A8E-CA28498A16D9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77A-4E1B-9A8E-CA28498A16D9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77A-4E1B-9A8E-CA28498A16D9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77A-4E1B-9A8E-CA28498A16D9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77A-4E1B-9A8E-CA28498A16D9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3-pre</a:t>
            </a:r>
            <a:r>
              <a:rPr lang="en-US" sz="1000" baseline="0"/>
              <a:t> </a:t>
            </a:r>
            <a:r>
              <a:rPr lang="en-US" sz="1000"/>
              <a:t>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036-47D7-B198-0BB170B0AB5E}"/>
            </c:ext>
          </c:extLst>
        </c:ser>
        <c:ser>
          <c:idx val="7"/>
          <c:order val="4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pre'!$I$6,'nuc pre'!$I$19,'nuc pre'!$I$32)</c:f>
              <c:numCache>
                <c:formatCode>0</c:formatCode>
                <c:ptCount val="3"/>
                <c:pt idx="0">
                  <c:v>68.754000000000005</c:v>
                </c:pt>
                <c:pt idx="1">
                  <c:v>179.96200000000002</c:v>
                </c:pt>
                <c:pt idx="2">
                  <c:v>224.97600000000003</c:v>
                </c:pt>
              </c:numCache>
            </c:numRef>
          </c:xVal>
          <c:yVal>
            <c:numRef>
              <c:f>('nuc pre'!$I$12,'nuc pre'!$I$25,'nuc pre'!$I$38)</c:f>
              <c:numCache>
                <c:formatCode>0.0</c:formatCode>
                <c:ptCount val="3"/>
                <c:pt idx="0">
                  <c:v>82.84</c:v>
                </c:pt>
                <c:pt idx="1">
                  <c:v>87.568999999999988</c:v>
                </c:pt>
                <c:pt idx="2">
                  <c:v>81.203000000000003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6-47D7-B198-0BB170B0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pre'!$H$3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pre'!$I$3,'nuc pre'!$I$16,'nuc pre'!$I$29)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pre'!$I$9,'nuc pre'!$I$22,'nuc pre'!$I$35)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036-47D7-B198-0BB170B0AB5E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36-47D7-B198-0BB170B0AB5E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6-47D7-B198-0BB170B0AB5E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pre'!$A$3</c15:sqref>
                        </c15:formulaRef>
                      </c:ext>
                    </c:extLst>
                    <c:strCache>
                      <c:ptCount val="1"/>
                      <c:pt idx="0">
                        <c:v>pre_0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pre'!$B$3,'nuc pre'!$B$16,'nuc pre'!$B$29)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pre'!$B$9,'nuc pre'!$B$22,'nuc pre'!$B$35)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6-47D7-B198-0BB170B0AB5E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036-47D7-B198-0BB170B0AB5E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036-47D7-B198-0BB170B0AB5E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90E-842A-7D24584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2-syl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  <c:extLst xmlns:c15="http://schemas.microsoft.com/office/drawing/2012/chart"/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103-4B5A-9A70-DB2B69F58F16}"/>
            </c:ext>
          </c:extLst>
        </c:ser>
        <c:ser>
          <c:idx val="5"/>
          <c:order val="2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pattFill prst="pct50">
                <a:fgClr>
                  <a:srgbClr val="D95F02"/>
                </a:fgClr>
                <a:bgClr>
                  <a:schemeClr val="bg1"/>
                </a:bgClr>
              </a:pattFill>
              <a:ln>
                <a:solidFill>
                  <a:srgbClr val="D95F02"/>
                </a:solidFill>
              </a:ln>
            </c:spPr>
          </c:marker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  <c:extLst xmlns:c15="http://schemas.microsoft.com/office/drawing/2012/chart"/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A103-4B5A-9A70-DB2B69F5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103-4B5A-9A70-DB2B69F58F1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03-4B5A-9A70-DB2B69F58F16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92.448999999999998</c:v>
                      </c:pt>
                      <c:pt idx="1">
                        <c:v>468.03999999999996</c:v>
                      </c:pt>
                      <c:pt idx="2">
                        <c:v>524.39100000000008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83.858000000000004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03-4B5A-9A70-DB2B69F58F16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03-4B5A-9A70-DB2B69F58F16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03-4B5A-9A70-DB2B69F58F16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89.49</c:v>
                      </c:pt>
                      <c:pt idx="1">
                        <c:v>513.71699999999998</c:v>
                      </c:pt>
                      <c:pt idx="2">
                        <c:v>572.20000000000005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83.888000000000005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03-4B5A-9A70-DB2B69F58F16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4651182351196"/>
          <c:y val="0.18506301824212273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54-4685-A540-1E5EF79E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5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E-4CD8-820D-B54EE884F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 w="19050" cap="rnd">
              <a:solidFill>
                <a:srgbClr val="1B9E77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5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1B9E77">
                    <a:alpha val="49804"/>
                  </a:srgbClr>
                </a:solidFill>
                <a:round/>
              </a:ln>
              <a:effectLst/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F6E-8133-C8FF9079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2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f</a:t>
                </a:r>
                <a:r>
                  <a:rPr lang="en-US" sz="900" b="0" i="1" baseline="-25000">
                    <a:solidFill>
                      <a:sysClr val="windowText" lastClr="000000"/>
                    </a:solidFill>
                    <a:effectLst/>
                  </a:rPr>
                  <a:t>0</a:t>
                </a:r>
                <a:r>
                  <a:rPr lang="en-US" sz="900" b="0" i="1" baseline="0">
                    <a:solidFill>
                      <a:sysClr val="windowText" lastClr="000000"/>
                    </a:solidFill>
                    <a:effectLst/>
                  </a:rPr>
                  <a:t> </a:t>
                </a: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</a:rPr>
                  <a:t>(ST re 1 Hz)</a:t>
                </a:r>
                <a:endParaRPr lang="en-IE" sz="9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pre'!$B$29:$B$32</c:f>
              <c:numCache>
                <c:formatCode>0</c:formatCode>
                <c:ptCount val="4"/>
                <c:pt idx="0">
                  <c:v>313.32600000000002</c:v>
                </c:pt>
                <c:pt idx="1">
                  <c:v>282.40600000000001</c:v>
                </c:pt>
                <c:pt idx="2">
                  <c:v>308.87</c:v>
                </c:pt>
                <c:pt idx="3">
                  <c:v>272.78500000000003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4-49C7-BA96-A735D7D16D62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plus>
            <c:minus>
              <c:numRef>
                <c:f>'nuc pre'!$F$29:$F$32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55.793887909043008</c:v>
                  </c:pt>
                  <c:pt idx="2">
                    <c:v>83.182928361298991</c:v>
                  </c:pt>
                  <c:pt idx="3">
                    <c:v>83.183529104048034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pre'!$I$29:$I$32</c:f>
              <c:numCache>
                <c:formatCode>0</c:formatCode>
                <c:ptCount val="4"/>
                <c:pt idx="0">
                  <c:v>265.51700000000005</c:v>
                </c:pt>
                <c:pt idx="1">
                  <c:v>234.59700000000001</c:v>
                </c:pt>
                <c:pt idx="2">
                  <c:v>261.06100000000004</c:v>
                </c:pt>
                <c:pt idx="3">
                  <c:v>224.97600000000003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4-49C7-BA96-A735D7D1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247.81</c:v>
                </c:pt>
                <c:pt idx="2">
                  <c:v>258.315</c:v>
                </c:pt>
                <c:pt idx="3">
                  <c:v>225.63900000000001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D4-829C-9C656BD681B1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plus>
            <c:minus>
              <c:numRef>
                <c:f>'nuc pre'!$F$16:$F$19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44.646399040685992</c:v>
                  </c:pt>
                  <c:pt idx="2">
                    <c:v>64.620737972005998</c:v>
                  </c:pt>
                  <c:pt idx="3">
                    <c:v>64.629732397184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202.13300000000001</c:v>
                </c:pt>
                <c:pt idx="2">
                  <c:v>212.63800000000001</c:v>
                </c:pt>
                <c:pt idx="3">
                  <c:v>179.96200000000002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D4-829C-9C656BD681B1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pre'!$B$3:$B$6</c:f>
              <c:numCache>
                <c:formatCode>0</c:formatCode>
                <c:ptCount val="4"/>
                <c:pt idx="0">
                  <c:v>104.017</c:v>
                </c:pt>
                <c:pt idx="1">
                  <c:v>96.242000000000004</c:v>
                </c:pt>
                <c:pt idx="2">
                  <c:v>92.210999999999999</c:v>
                </c:pt>
                <c:pt idx="3">
                  <c:v>65.795000000000002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D4-829C-9C656BD681B1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plus>
            <c:minus>
              <c:numRef>
                <c:f>'nuc pre'!$F$3:$F$6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44.264040014327307</c:v>
                  </c:pt>
                  <c:pt idx="2">
                    <c:v>67.046538984868803</c:v>
                  </c:pt>
                  <c:pt idx="3">
                    <c:v>67.046563712381925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pre'!$I$3:$I$6</c:f>
              <c:numCache>
                <c:formatCode>0</c:formatCode>
                <c:ptCount val="4"/>
                <c:pt idx="0">
                  <c:v>106.976</c:v>
                </c:pt>
                <c:pt idx="1">
                  <c:v>99.201000000000008</c:v>
                </c:pt>
                <c:pt idx="2">
                  <c:v>95.17</c:v>
                </c:pt>
                <c:pt idx="3">
                  <c:v>68.754000000000005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83-48D4-829C-9C656BD68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700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L% </a:t>
            </a:r>
            <a:r>
              <a:rPr lang="en-US"/>
              <a:t>re</a:t>
            </a:r>
            <a:r>
              <a:rPr lang="en-US" sz="1100"/>
              <a:t> nuc-pre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87.108000000000004</c:v>
                </c:pt>
                <c:pt idx="2">
                  <c:v>86.805000000000007</c:v>
                </c:pt>
                <c:pt idx="3">
                  <c:v>86.796999999999997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D73-8091-0254B2FCD165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9525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plus>
            <c:minus>
              <c:numRef>
                <c:f>'nuc pre'!$F$35:$F$38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3.4452488913694026</c:v>
                  </c:pt>
                  <c:pt idx="2">
                    <c:v>3.5954050196762068</c:v>
                  </c:pt>
                  <c:pt idx="3">
                    <c:v>3.5954776026595994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81.51400000000001</c:v>
                </c:pt>
                <c:pt idx="2">
                  <c:v>81.211000000000013</c:v>
                </c:pt>
                <c:pt idx="3">
                  <c:v>81.203000000000003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C-4D73-8091-0254B2FC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0" i="1" baseline="0">
                    <a:effectLst/>
                  </a:rPr>
                  <a:t>f</a:t>
                </a:r>
                <a:r>
                  <a:rPr lang="en-US" sz="900" b="0" i="0" baseline="-25000">
                    <a:effectLst/>
                  </a:rPr>
                  <a:t>0</a:t>
                </a:r>
                <a:r>
                  <a:rPr lang="en-US" sz="900" b="0" i="0" baseline="0">
                    <a:effectLst/>
                  </a:rPr>
                  <a:t> (ST re 1 Hz)</a:t>
                </a:r>
                <a:endParaRPr lang="en-IE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f0 of % and L% re nuc-pre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pre'!$I$43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88.031000000000006</c:v>
                </c:pt>
                <c:pt idx="2">
                  <c:v>88.322000000000003</c:v>
                </c:pt>
                <c:pt idx="3">
                  <c:v>88.221999999999994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3-4F2D-AA38-EFC9F4766FE4}"/>
            </c:ext>
          </c:extLst>
        </c:ser>
        <c:ser>
          <c:idx val="2"/>
          <c:order val="1"/>
          <c:tx>
            <c:strRef>
              <c:f>'nuc pre'!$I$41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plus>
            <c:minus>
              <c:numRef>
                <c:f>'nuc pre'!$F$22:$F$25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3.3104432588252024</c:v>
                  </c:pt>
                  <c:pt idx="2">
                    <c:v>3.6638127916843075</c:v>
                  </c:pt>
                  <c:pt idx="3">
                    <c:v>3.664151874914694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87.378</c:v>
                </c:pt>
                <c:pt idx="2">
                  <c:v>87.668999999999997</c:v>
                </c:pt>
                <c:pt idx="3">
                  <c:v>87.568999999999988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F2D-AA38-EFC9F4766FE4}"/>
            </c:ext>
          </c:extLst>
        </c:ser>
        <c:ser>
          <c:idx val="4"/>
          <c:order val="2"/>
          <c:tx>
            <c:strRef>
              <c:f>'nuc pre'!$I$44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pre'!$B$9:$B$12</c:f>
              <c:numCache>
                <c:formatCode>0.0</c:formatCode>
                <c:ptCount val="4"/>
                <c:pt idx="0">
                  <c:v>83.015000000000001</c:v>
                </c:pt>
                <c:pt idx="1">
                  <c:v>83.138999999999996</c:v>
                </c:pt>
                <c:pt idx="2">
                  <c:v>82.869</c:v>
                </c:pt>
                <c:pt idx="3">
                  <c:v>82.87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A3-4F2D-AA38-EFC9F4766FE4}"/>
            </c:ext>
          </c:extLst>
        </c:ser>
        <c:ser>
          <c:idx val="0"/>
          <c:order val="3"/>
          <c:tx>
            <c:strRef>
              <c:f>'nuc pre'!$I$42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plus>
            <c:minus>
              <c:numRef>
                <c:f>'nuc pre'!$F$9:$F$12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3.2514506254678963</c:v>
                  </c:pt>
                  <c:pt idx="2">
                    <c:v>3.2734805666542002</c:v>
                  </c:pt>
                  <c:pt idx="3">
                    <c:v>3.2731602722601991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pre'!$A$3:$A$6</c:f>
              <c:strCache>
                <c:ptCount val="4"/>
                <c:pt idx="0">
                  <c:v>pre_0</c:v>
                </c:pt>
                <c:pt idx="1">
                  <c:v>pre_1</c:v>
                </c:pt>
                <c:pt idx="2">
                  <c:v>pre_2</c:v>
                </c:pt>
                <c:pt idx="3">
                  <c:v>pre_3</c:v>
                </c:pt>
              </c:strCache>
            </c:strRef>
          </c:cat>
          <c:val>
            <c:numRef>
              <c:f>'nuc pre'!$I$9:$I$12</c:f>
              <c:numCache>
                <c:formatCode>0.0</c:formatCode>
                <c:ptCount val="4"/>
                <c:pt idx="0">
                  <c:v>82.984999999999999</c:v>
                </c:pt>
                <c:pt idx="1">
                  <c:v>83.108999999999995</c:v>
                </c:pt>
                <c:pt idx="2">
                  <c:v>82.838999999999999</c:v>
                </c:pt>
                <c:pt idx="3">
                  <c:v>82.84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A3-4F2D-AA38-EFC9F476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0-pre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pre'!$A$1</c:f>
              <c:strCache>
                <c:ptCount val="1"/>
                <c:pt idx="0">
                  <c:v>%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1-48A2-B09D-8A1C236B1502}"/>
            </c:ext>
          </c:extLst>
        </c:ser>
        <c:ser>
          <c:idx val="4"/>
          <c:order val="1"/>
          <c:tx>
            <c:strRef>
              <c:f>'nuc pre'!$G$1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6"/>
            <c:spPr>
              <a:pattFill prst="pct25">
                <a:fgClr>
                  <a:schemeClr val="bg1"/>
                </a:fgClr>
                <a:bgClr>
                  <a:srgbClr val="1B9E77"/>
                </a:bgClr>
              </a:pattFill>
              <a:ln>
                <a:solidFill>
                  <a:srgbClr val="1B9E77"/>
                </a:solidFill>
              </a:ln>
            </c:spPr>
          </c:marker>
          <c:xVal>
            <c:numRef>
              <c:f>('nuc pre'!$I$3,'nuc pre'!$I$16,'nuc pre'!$I$29)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pre'!$I$9,'nuc pre'!$I$22,'nuc pre'!$I$35)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1-48A2-B09D-8A1C236B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2"/>
                <c:tx>
                  <c:strRef>
                    <c:extLst>
                      <c:ext uri="{02D57815-91ED-43cb-92C2-25804820EDAC}">
                        <c15:formulaRef>
                          <c15:sqref>'nuc pre'!$H$4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pre'!$I$4,'nuc pre'!$I$17,'nuc pre'!$I$30)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99.201000000000008</c:v>
                      </c:pt>
                      <c:pt idx="1">
                        <c:v>202.13300000000001</c:v>
                      </c:pt>
                      <c:pt idx="2">
                        <c:v>234.59700000000001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pre'!$I$10,'nuc pre'!$I$23,'nuc pre'!$I$36)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83.108999999999995</c:v>
                      </c:pt>
                      <c:pt idx="1">
                        <c:v>87.378</c:v>
                      </c:pt>
                      <c:pt idx="2">
                        <c:v>81.51400000000001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A81-48A2-B09D-8A1C236B1502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pre'!$I$5,'nuc pre'!$I$18,'nuc pre'!$I$31)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95.17</c:v>
                      </c:pt>
                      <c:pt idx="1">
                        <c:v>212.63800000000001</c:v>
                      </c:pt>
                      <c:pt idx="2">
                        <c:v>261.06100000000004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pre'!$I$11,'nuc pre'!$I$24,'nuc pre'!$I$37)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82.838999999999999</c:v>
                      </c:pt>
                      <c:pt idx="1">
                        <c:v>87.668999999999997</c:v>
                      </c:pt>
                      <c:pt idx="2">
                        <c:v>81.211000000000013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81-48A2-B09D-8A1C236B1502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pre'!$H$6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pre'!$I$6,'nuc pre'!$I$19,'nuc pre'!$I$32)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68.754000000000005</c:v>
                      </c:pt>
                      <c:pt idx="1">
                        <c:v>179.96200000000002</c:v>
                      </c:pt>
                      <c:pt idx="2">
                        <c:v>224.97600000000003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pre'!$I$12,'nuc pre'!$I$25,'nuc pre'!$I$38)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82.84</c:v>
                      </c:pt>
                      <c:pt idx="1">
                        <c:v>87.568999999999988</c:v>
                      </c:pt>
                      <c:pt idx="2">
                        <c:v>81.203000000000003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1-48A2-B09D-8A1C236B1502}"/>
                  </c:ext>
                </c:extLst>
              </c15:ser>
            </c15:filteredScatterSeries>
            <c15:filteredScatterSeries>
              <c15:ser>
                <c:idx val="2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pre'!$A$4</c15:sqref>
                        </c15:formulaRef>
                      </c:ext>
                    </c:extLst>
                    <c:strCache>
                      <c:ptCount val="1"/>
                      <c:pt idx="0">
                        <c:v>pre_1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pre'!$B$4,'nuc pre'!$B$17,'nuc pre'!$B$30)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96.242000000000004</c:v>
                      </c:pt>
                      <c:pt idx="1">
                        <c:v>247.81</c:v>
                      </c:pt>
                      <c:pt idx="2">
                        <c:v>282.40600000000001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pre'!$B$10,'nuc pre'!$B$23,'nuc pre'!$B$36)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83.138999999999996</c:v>
                      </c:pt>
                      <c:pt idx="1">
                        <c:v>88.031000000000006</c:v>
                      </c:pt>
                      <c:pt idx="2">
                        <c:v>87.108000000000004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1-48A2-B09D-8A1C236B1502}"/>
                  </c:ext>
                </c:extLst>
              </c15:ser>
            </c15:filteredScatterSeries>
            <c15:filteredScatterSeries>
              <c15:ser>
                <c:idx val="3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pre'!$A$5</c15:sqref>
                        </c15:formulaRef>
                      </c:ext>
                    </c:extLst>
                    <c:strCache>
                      <c:ptCount val="1"/>
                      <c:pt idx="0">
                        <c:v>pre_2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pre'!$B$5,'nuc pre'!$B$18,'nuc pre'!$B$31)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92.210999999999999</c:v>
                      </c:pt>
                      <c:pt idx="1">
                        <c:v>258.315</c:v>
                      </c:pt>
                      <c:pt idx="2">
                        <c:v>308.87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pre'!$B$11,'nuc pre'!$B$24,'nuc pre'!$B$37)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82.869</c:v>
                      </c:pt>
                      <c:pt idx="1">
                        <c:v>88.322000000000003</c:v>
                      </c:pt>
                      <c:pt idx="2">
                        <c:v>86.805000000000007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1-48A2-B09D-8A1C236B1502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pre'!$A$6</c15:sqref>
                        </c15:formulaRef>
                      </c:ext>
                    </c:extLst>
                    <c:strCache>
                      <c:ptCount val="1"/>
                      <c:pt idx="0">
                        <c:v>pre_3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pre'!$B$6,'nuc pre'!$B$19,'nuc pre'!$B$32)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65.795000000000002</c:v>
                      </c:pt>
                      <c:pt idx="1">
                        <c:v>225.63900000000001</c:v>
                      </c:pt>
                      <c:pt idx="2">
                        <c:v>272.78500000000003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pre'!$B$12,'nuc pre'!$B$25,'nuc pre'!$B$38)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82.87</c:v>
                      </c:pt>
                      <c:pt idx="1">
                        <c:v>88.221999999999994</c:v>
                      </c:pt>
                      <c:pt idx="2">
                        <c:v>86.796999999999997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1-48A2-B09D-8A1C236B1502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751502444154106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US" sz="1000" b="0"/>
              <a:t>L*H % re nuc-pre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'nuc pre'!$A$3</c:f>
              <c:strCache>
                <c:ptCount val="1"/>
                <c:pt idx="0">
                  <c:v>pre_0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7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pre'!$F$3,'nuc pre'!$F$16,'nuc pre'!$F$29)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pre'!$F$9,'nuc pre'!$F$22,'nuc pre'!$F$35)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pre'!$B$3,'nuc pre'!$B$16,'nuc pre'!$B$29)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pre'!$B$9,'nuc pre'!$B$22,'nuc pre'!$B$35)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E-4910-B985-AAE16D3CAF6C}"/>
            </c:ext>
          </c:extLst>
        </c:ser>
        <c:ser>
          <c:idx val="2"/>
          <c:order val="1"/>
          <c:tx>
            <c:strRef>
              <c:f>'nuc pre'!$A$4</c:f>
              <c:strCache>
                <c:ptCount val="1"/>
                <c:pt idx="0">
                  <c:v>pre_1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pre'!$F$10,'nuc pre'!$F$23,'nuc pre'!$F$37)</c:f>
                <c:numCache>
                  <c:formatCode>General</c:formatCode>
                  <c:ptCount val="3"/>
                  <c:pt idx="0">
                    <c:v>3.2514506254678963</c:v>
                  </c:pt>
                  <c:pt idx="1">
                    <c:v>3.3104432588252024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plus>
            <c:minus>
              <c:numRef>
                <c:f>('nuc pre'!$F$4,'nuc pre'!$F$17,'nuc pre'!$F$30)</c:f>
                <c:numCache>
                  <c:formatCode>General</c:formatCode>
                  <c:ptCount val="3"/>
                  <c:pt idx="0">
                    <c:v>44.264040014327307</c:v>
                  </c:pt>
                  <c:pt idx="1">
                    <c:v>44.646399040685992</c:v>
                  </c:pt>
                  <c:pt idx="2">
                    <c:v>55.793887909043008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pre'!$B$4,'nuc pre'!$B$17,'nuc pre'!$B$30)</c:f>
              <c:numCache>
                <c:formatCode>0</c:formatCode>
                <c:ptCount val="3"/>
                <c:pt idx="0">
                  <c:v>96.242000000000004</c:v>
                </c:pt>
                <c:pt idx="1">
                  <c:v>247.81</c:v>
                </c:pt>
                <c:pt idx="2">
                  <c:v>282.40600000000001</c:v>
                </c:pt>
              </c:numCache>
            </c:numRef>
          </c:xVal>
          <c:yVal>
            <c:numRef>
              <c:f>('nuc pre'!$B$10,'nuc pre'!$B$23,'nuc pre'!$B$36)</c:f>
              <c:numCache>
                <c:formatCode>0.0</c:formatCode>
                <c:ptCount val="3"/>
                <c:pt idx="0">
                  <c:v>83.138999999999996</c:v>
                </c:pt>
                <c:pt idx="1">
                  <c:v>88.031000000000006</c:v>
                </c:pt>
                <c:pt idx="2">
                  <c:v>87.108000000000004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E-4910-B985-AAE16D3CAF6C}"/>
            </c:ext>
          </c:extLst>
        </c:ser>
        <c:ser>
          <c:idx val="3"/>
          <c:order val="2"/>
          <c:tx>
            <c:strRef>
              <c:f>'nuc pre'!$A$5</c:f>
              <c:strCache>
                <c:ptCount val="1"/>
                <c:pt idx="0">
                  <c:v>pre_2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plus>
            <c:minus>
              <c:numRef>
                <c:f>('nuc pre'!$F$5,'nuc pre'!$F$18,'nuc pre'!$F$31)</c:f>
                <c:numCache>
                  <c:formatCode>General</c:formatCode>
                  <c:ptCount val="3"/>
                  <c:pt idx="0">
                    <c:v>67.046538984868803</c:v>
                  </c:pt>
                  <c:pt idx="1">
                    <c:v>64.620737972005998</c:v>
                  </c:pt>
                  <c:pt idx="2">
                    <c:v>83.182928361298991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plus>
            <c:minus>
              <c:numRef>
                <c:f>('nuc pre'!$F$11,'nuc pre'!$F$24,'nuc pre'!$F$37)</c:f>
                <c:numCache>
                  <c:formatCode>General</c:formatCode>
                  <c:ptCount val="3"/>
                  <c:pt idx="0">
                    <c:v>3.2734805666542002</c:v>
                  </c:pt>
                  <c:pt idx="1">
                    <c:v>3.6638127916843075</c:v>
                  </c:pt>
                  <c:pt idx="2">
                    <c:v>3.5954050196762068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pre'!$B$5,'nuc pre'!$B$18,'nuc pre'!$B$31)</c:f>
              <c:numCache>
                <c:formatCode>0</c:formatCode>
                <c:ptCount val="3"/>
                <c:pt idx="0">
                  <c:v>92.210999999999999</c:v>
                </c:pt>
                <c:pt idx="1">
                  <c:v>258.315</c:v>
                </c:pt>
                <c:pt idx="2">
                  <c:v>308.87</c:v>
                </c:pt>
              </c:numCache>
            </c:numRef>
          </c:xVal>
          <c:yVal>
            <c:numRef>
              <c:f>('nuc pre'!$B$11,'nuc pre'!$B$24,'nuc pre'!$B$37)</c:f>
              <c:numCache>
                <c:formatCode>0.0</c:formatCode>
                <c:ptCount val="3"/>
                <c:pt idx="0">
                  <c:v>82.869</c:v>
                </c:pt>
                <c:pt idx="1">
                  <c:v>88.322000000000003</c:v>
                </c:pt>
                <c:pt idx="2">
                  <c:v>86.805000000000007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7E-4910-B985-AAE16D3CAF6C}"/>
            </c:ext>
          </c:extLst>
        </c:ser>
        <c:ser>
          <c:idx val="0"/>
          <c:order val="3"/>
          <c:tx>
            <c:strRef>
              <c:f>'nuc pre'!$A$6</c:f>
              <c:strCache>
                <c:ptCount val="1"/>
                <c:pt idx="0">
                  <c:v>pre_3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plus>
            <c:minus>
              <c:numRef>
                <c:f>('nuc pre'!$F$6,'nuc pre'!$F$19,'nuc pre'!$F$32)</c:f>
                <c:numCache>
                  <c:formatCode>General</c:formatCode>
                  <c:ptCount val="3"/>
                  <c:pt idx="0">
                    <c:v>67.046563712381925</c:v>
                  </c:pt>
                  <c:pt idx="1">
                    <c:v>64.629732397184</c:v>
                  </c:pt>
                  <c:pt idx="2">
                    <c:v>83.183529104048034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plus>
            <c:minus>
              <c:numRef>
                <c:f>('nuc pre'!$F$12,'nuc pre'!$F$25,'nuc pre'!$F$38)</c:f>
                <c:numCache>
                  <c:formatCode>General</c:formatCode>
                  <c:ptCount val="3"/>
                  <c:pt idx="0">
                    <c:v>3.2731602722601991</c:v>
                  </c:pt>
                  <c:pt idx="1">
                    <c:v>3.664151874914694</c:v>
                  </c:pt>
                  <c:pt idx="2">
                    <c:v>3.5954776026595994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pre'!$B$6,'nuc pre'!$B$19,'nuc pre'!$B$32)</c:f>
              <c:numCache>
                <c:formatCode>0</c:formatCode>
                <c:ptCount val="3"/>
                <c:pt idx="0">
                  <c:v>65.795000000000002</c:v>
                </c:pt>
                <c:pt idx="1">
                  <c:v>225.63900000000001</c:v>
                </c:pt>
                <c:pt idx="2">
                  <c:v>272.78500000000003</c:v>
                </c:pt>
              </c:numCache>
            </c:numRef>
          </c:xVal>
          <c:yVal>
            <c:numRef>
              <c:f>('nuc pre'!$B$12,'nuc pre'!$B$25,'nuc pre'!$B$38)</c:f>
              <c:numCache>
                <c:formatCode>0.0</c:formatCode>
                <c:ptCount val="3"/>
                <c:pt idx="0">
                  <c:v>82.87</c:v>
                </c:pt>
                <c:pt idx="1">
                  <c:v>88.221999999999994</c:v>
                </c:pt>
                <c:pt idx="2">
                  <c:v>86.796999999999997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7E-4910-B985-AAE16D3C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5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58811397930773712"/>
          <c:y val="0.53619154228855725"/>
          <c:w val="0.27688748152476539"/>
          <c:h val="0.22247595356550581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6F-47FE-9439-2D8C1B5875A5}"/>
                </c:ext>
              </c:extLst>
            </c:dLbl>
            <c:dLbl>
              <c:idx val="1"/>
              <c:layout>
                <c:manualLayout>
                  <c:x val="2.916924251790974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12.768740045693297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A86A-4F38-92D6-A63F8BFF675C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6F-47FE-9439-2D8C1B5875A5}"/>
                </c:ext>
              </c:extLst>
            </c:dLbl>
            <c:dLbl>
              <c:idx val="1"/>
              <c:layout>
                <c:manualLayout>
                  <c:x val="3.7659757435577937E-2"/>
                  <c:y val="-2.46101805534616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24.361402132727282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A86A-4F38-92D6-A63F8BFF675C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F-47FE-9439-2D8C1B5875A5}"/>
                </c:ext>
              </c:extLst>
            </c:dLbl>
            <c:dLbl>
              <c:idx val="1"/>
              <c:layout>
                <c:manualLayout>
                  <c:x val="4.178333757591185E-2"/>
                  <c:y val="-4.76207542608946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27.085539833539045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86A-4F38-92D6-A63F8BFF675C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F-47FE-9439-2D8C1B5875A5}"/>
                </c:ext>
              </c:extLst>
            </c:dLbl>
            <c:dLbl>
              <c:idx val="1"/>
              <c:layout>
                <c:manualLayout>
                  <c:x val="4.6458832269225377E-2"/>
                  <c:y val="-3.9350603895217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F-47FE-9439-2D8C1B5875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27.71572661723382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6A-4F38-92D6-A63F8BFF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3-syl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  <c:extLst xmlns:c15="http://schemas.microsoft.com/office/drawing/2012/chart"/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801E-4D35-B8AD-F11108691588}"/>
            </c:ext>
          </c:extLst>
        </c:ser>
        <c:ser>
          <c:idx val="6"/>
          <c:order val="3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pattFill prst="pct50">
                <a:fgClr>
                  <a:srgbClr val="47298A"/>
                </a:fgClr>
                <a:bgClr>
                  <a:schemeClr val="bg1"/>
                </a:bgClr>
              </a:pattFill>
              <a:ln>
                <a:solidFill>
                  <a:srgbClr val="47298A"/>
                </a:solidFill>
              </a:ln>
            </c:spPr>
          </c:marker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  <c:extLst xmlns:c15="http://schemas.microsoft.com/office/drawing/2012/chart"/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801E-4D35-B8AD-F1110869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01E-4D35-B8AD-F11108691588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01E-4D35-B8AD-F11108691588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25400">
                    <a:solidFill>
                      <a:srgbClr val="E7298A"/>
                    </a:solidFill>
                    <a:prstDash val="sysDot"/>
                  </a:ln>
                </c:spPr>
                <c:marker>
                  <c:symbol val="square"/>
                  <c:size val="6"/>
                  <c:spPr>
                    <a:solidFill>
                      <a:srgbClr val="E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foot'!$I$6,'nuc foot'!$I$19,'nuc foot'!$I$32)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92.448999999999998</c:v>
                      </c:pt>
                      <c:pt idx="1">
                        <c:v>468.03999999999996</c:v>
                      </c:pt>
                      <c:pt idx="2">
                        <c:v>524.39100000000008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foot'!$I$12,'nuc foot'!$I$25,'nuc foot'!$I$38)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83.858000000000004</c:v>
                      </c:pt>
                      <c:pt idx="1">
                        <c:v>88.117999999999995</c:v>
                      </c:pt>
                      <c:pt idx="2">
                        <c:v>82.266000000000005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01E-4D35-B8AD-F11108691588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01E-4D35-B8AD-F11108691588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1E-4D35-B8AD-F11108691588}"/>
                  </c:ext>
                </c:extLst>
              </c15:ser>
            </c15:filteredScatterSeries>
            <c15:filteredScatterSeries>
              <c15:ser>
                <c:idx val="0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foot'!$A$6</c15:sqref>
                        </c15:formulaRef>
                      </c:ext>
                    </c:extLst>
                    <c:strCache>
                      <c:ptCount val="1"/>
                      <c:pt idx="0">
                        <c:v>syls4</c:v>
                      </c:pt>
                    </c:strCache>
                  </c:strRef>
                </c:tx>
                <c:spPr>
                  <a:ln w="19050" cap="rnd">
                    <a:solidFill>
                      <a:srgbClr val="E7298A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E7298A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foot'!$B$6,'nuc foot'!$B$19,'nuc foot'!$B$32)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89.49</c:v>
                      </c:pt>
                      <c:pt idx="1">
                        <c:v>513.71699999999998</c:v>
                      </c:pt>
                      <c:pt idx="2">
                        <c:v>572.20000000000005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foot'!$B$12,'nuc foot'!$B$25,'nuc foot'!$B$38)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83.888000000000005</c:v>
                      </c:pt>
                      <c:pt idx="1">
                        <c:v>88.771000000000001</c:v>
                      </c:pt>
                      <c:pt idx="2">
                        <c:v>87.86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01E-4D35-B8AD-F11108691588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54659266492469"/>
          <c:y val="0.18506301824212273"/>
          <c:w val="0.28195061371742419"/>
          <c:h val="0.17968739635157546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'nuc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'nuc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2.5470000000000002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0BE-4B23-9E1A-CEC52C9A5D27}"/>
            </c:ext>
          </c:extLst>
        </c:ser>
        <c:ser>
          <c:idx val="10"/>
          <c:order val="1"/>
          <c:tx>
            <c:strRef>
              <c:f>'nuc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'nuc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3.1930000000000001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0BE-4B23-9E1A-CEC52C9A5D27}"/>
            </c:ext>
          </c:extLst>
        </c:ser>
        <c:ser>
          <c:idx val="9"/>
          <c:order val="2"/>
          <c:tx>
            <c:strRef>
              <c:f>'nuc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'nuc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3.2989999999999999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20BE-4B23-9E1A-CEC52C9A5D27}"/>
            </c:ext>
          </c:extLst>
        </c:ser>
        <c:ser>
          <c:idx val="8"/>
          <c:order val="3"/>
          <c:tx>
            <c:strRef>
              <c:f>'nuc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'nuc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'nuc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3.3220000000000001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BE-4B23-9E1A-CEC52C9A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C-423C-BA28-65EBEBDC88EE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C-423C-BA28-65EBEBDC88E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6C-423C-BA28-65EBEBDC88EE}"/>
              </c:ext>
            </c:extLst>
          </c:dPt>
          <c:errBars>
            <c:errBarType val="both"/>
            <c:errValType val="cust"/>
            <c:noEndCap val="0"/>
            <c:pl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plus>
            <c:minus>
              <c:numRef>
                <c:f>'nuc slope exc'!$F$2:$F$5</c:f>
                <c:numCache>
                  <c:formatCode>General</c:formatCode>
                  <c:ptCount val="4"/>
                  <c:pt idx="0">
                    <c:v>1.7501581088798703</c:v>
                  </c:pt>
                  <c:pt idx="1">
                    <c:v>2.9959258498736796</c:v>
                  </c:pt>
                  <c:pt idx="2">
                    <c:v>1.7508877209744798</c:v>
                  </c:pt>
                  <c:pt idx="3">
                    <c:v>2.9960825667067903</c:v>
                  </c:pt>
                </c:numCache>
              </c:numRef>
            </c:minus>
          </c:errBars>
          <c:cat>
            <c:strRef>
              <c:f>'nuc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exc'!$B$2:$B$5</c:f>
              <c:numCache>
                <c:formatCode>0.00</c:formatCode>
                <c:ptCount val="4"/>
                <c:pt idx="0">
                  <c:v>4.1630000000000003</c:v>
                </c:pt>
                <c:pt idx="1">
                  <c:v>4.5659999999999998</c:v>
                </c:pt>
                <c:pt idx="2">
                  <c:v>6.08</c:v>
                </c:pt>
                <c:pt idx="3">
                  <c:v>5.1120000000000001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6C-423C-BA28-65EBEBDC8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89A-47CC-9A50-CA5555C2040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89A-47CC-9A50-CA5555C2040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89A-47CC-9A50-CA5555C2040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89A-47CC-9A50-CA5555C2040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plus>
            <c:minus>
              <c:numRef>
                <c:f>'nuc slope exc'!$F$8:$F$11</c:f>
                <c:numCache>
                  <c:formatCode>General</c:formatCode>
                  <c:ptCount val="4"/>
                  <c:pt idx="0">
                    <c:v>0.29522569135888022</c:v>
                  </c:pt>
                  <c:pt idx="1">
                    <c:v>0.49087525218403005</c:v>
                  </c:pt>
                  <c:pt idx="2">
                    <c:v>0.29564630036235995</c:v>
                  </c:pt>
                  <c:pt idx="3">
                    <c:v>0.49050412361231022</c:v>
                  </c:pt>
                </c:numCache>
              </c:numRef>
            </c:minus>
          </c:errBars>
          <c:cat>
            <c:strRef>
              <c:f>'nuc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slope exc'!$B$8:$B$11</c:f>
              <c:numCache>
                <c:formatCode>0.00</c:formatCode>
                <c:ptCount val="4"/>
                <c:pt idx="0">
                  <c:v>3.3220000000000001</c:v>
                </c:pt>
                <c:pt idx="1">
                  <c:v>3.2989999999999999</c:v>
                </c:pt>
                <c:pt idx="2">
                  <c:v>3.1930000000000001</c:v>
                </c:pt>
                <c:pt idx="3">
                  <c:v>2.5470000000000002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9A-47CC-9A50-CA5555C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C5-4805-8095-47C5886D0DC7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plus>
            <c:minus>
              <c:numRef>
                <c:f>('pn foot'!$F$3,'pn foot'!$F$16,'pn foot'!$F$29)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plus>
            <c:minus>
              <c:numRef>
                <c:f>('pn foot'!$F$9,'pn foot'!$F$22,'pn foot'!$F$35)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foot'!$B$3,'pn foot'!$B$16)</c:f>
              <c:numCache>
                <c:formatCode>0</c:formatCode>
                <c:ptCount val="2"/>
                <c:pt idx="0">
                  <c:v>87.521000000000001</c:v>
                </c:pt>
                <c:pt idx="1">
                  <c:v>186.215</c:v>
                </c:pt>
              </c:numCache>
            </c:numRef>
          </c:xVal>
          <c:yVal>
            <c:numRef>
              <c:f>('pn foot'!$B$9,'pn foot'!$B$22)</c:f>
              <c:numCache>
                <c:formatCode>0.0</c:formatCode>
                <c:ptCount val="2"/>
                <c:pt idx="0">
                  <c:v>85.227999999999994</c:v>
                </c:pt>
                <c:pt idx="1">
                  <c:v>87.722999999999999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5-4805-8095-47C5886D0DC7}"/>
            </c:ext>
          </c:extLst>
        </c:ser>
        <c:ser>
          <c:idx val="2"/>
          <c:order val="1"/>
          <c:tx>
            <c:strRef>
              <c:f>'pn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3.0293637447761057</c:v>
                  </c:pt>
                  <c:pt idx="1">
                    <c:v>3.1436982758591938</c:v>
                  </c:pt>
                </c:numCache>
              </c:numRef>
            </c:plus>
            <c:minus>
              <c:numRef>
                <c:f>('pn foot'!$F$10,'pn foot'!$F$23,'pn foot'!$F$37)</c:f>
                <c:numCache>
                  <c:formatCode>General</c:formatCode>
                  <c:ptCount val="3"/>
                  <c:pt idx="0">
                    <c:v>3.0293637447761057</c:v>
                  </c:pt>
                  <c:pt idx="1">
                    <c:v>3.1436982758591938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232.35465139314198</c:v>
                  </c:pt>
                  <c:pt idx="1">
                    <c:v>131.96141861125</c:v>
                  </c:pt>
                </c:numCache>
              </c:numRef>
            </c:plus>
            <c:minus>
              <c:numRef>
                <c:f>('pn foot'!$F$4,'pn foot'!$F$17,'pn foot'!$F$30)</c:f>
                <c:numCache>
                  <c:formatCode>General</c:formatCode>
                  <c:ptCount val="3"/>
                  <c:pt idx="0">
                    <c:v>232.35465139314198</c:v>
                  </c:pt>
                  <c:pt idx="1">
                    <c:v>131.96141861125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foot'!$B$4,'pn foot'!$B$17)</c:f>
              <c:numCache>
                <c:formatCode>0</c:formatCode>
                <c:ptCount val="2"/>
                <c:pt idx="0">
                  <c:v>96.442999999999998</c:v>
                </c:pt>
                <c:pt idx="1">
                  <c:v>217.30199999999999</c:v>
                </c:pt>
              </c:numCache>
            </c:numRef>
          </c:xVal>
          <c:yVal>
            <c:numRef>
              <c:f>('pn foot'!$B$10,'pn foot'!$B$23)</c:f>
              <c:numCache>
                <c:formatCode>0.0</c:formatCode>
                <c:ptCount val="2"/>
                <c:pt idx="0">
                  <c:v>85.132000000000005</c:v>
                </c:pt>
                <c:pt idx="1">
                  <c:v>87.998999999999995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5-4805-8095-47C5886D0DC7}"/>
            </c:ext>
          </c:extLst>
        </c:ser>
        <c:ser>
          <c:idx val="3"/>
          <c:order val="2"/>
          <c:tx>
            <c:strRef>
              <c:f>'pn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227.27096437110299</c:v>
                  </c:pt>
                  <c:pt idx="1">
                    <c:v>121.778727606516</c:v>
                  </c:pt>
                </c:numCache>
              </c:numRef>
            </c:plus>
            <c:minus>
              <c:numRef>
                <c:f>('pn foot'!$F$5,'pn foot'!$F$18,'pn foot'!$F$31)</c:f>
                <c:numCache>
                  <c:formatCode>General</c:formatCode>
                  <c:ptCount val="3"/>
                  <c:pt idx="0">
                    <c:v>227.27096437110299</c:v>
                  </c:pt>
                  <c:pt idx="1">
                    <c:v>121.778727606516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3.0478528717370068</c:v>
                  </c:pt>
                  <c:pt idx="1">
                    <c:v>3.1768924866178025</c:v>
                  </c:pt>
                </c:numCache>
              </c:numRef>
            </c:plus>
            <c:minus>
              <c:numRef>
                <c:f>('pn foot'!$F$11,'pn foot'!$F$24,'pn foot'!$F$37)</c:f>
                <c:numCache>
                  <c:formatCode>General</c:formatCode>
                  <c:ptCount val="3"/>
                  <c:pt idx="0">
                    <c:v>3.0478528717370068</c:v>
                  </c:pt>
                  <c:pt idx="1">
                    <c:v>3.1768924866178025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foot'!$B$5,'pn foot'!$B$18)</c:f>
              <c:numCache>
                <c:formatCode>0</c:formatCode>
                <c:ptCount val="2"/>
                <c:pt idx="0">
                  <c:v>102.935</c:v>
                </c:pt>
                <c:pt idx="1">
                  <c:v>239.34</c:v>
                </c:pt>
              </c:numCache>
            </c:numRef>
          </c:xVal>
          <c:yVal>
            <c:numRef>
              <c:f>('pn foot'!$B$11,'pn foot'!$B$24)</c:f>
              <c:numCache>
                <c:formatCode>0.0</c:formatCode>
                <c:ptCount val="2"/>
                <c:pt idx="0">
                  <c:v>85.028000000000006</c:v>
                </c:pt>
                <c:pt idx="1">
                  <c:v>88.537000000000006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5-4805-8095-47C5886D0DC7}"/>
            </c:ext>
          </c:extLst>
        </c:ser>
        <c:ser>
          <c:idx val="0"/>
          <c:order val="3"/>
          <c:tx>
            <c:strRef>
              <c:f>'pn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228.51164264535299</c:v>
                  </c:pt>
                  <c:pt idx="1">
                    <c:v>124.53606004136799</c:v>
                  </c:pt>
                </c:numCache>
              </c:numRef>
            </c:plus>
            <c:minus>
              <c:numRef>
                <c:f>('pn foot'!$F$6,'pn foot'!$F$19,'pn foot'!$F$32)</c:f>
                <c:numCache>
                  <c:formatCode>General</c:formatCode>
                  <c:ptCount val="3"/>
                  <c:pt idx="0">
                    <c:v>228.51164264535299</c:v>
                  </c:pt>
                  <c:pt idx="1">
                    <c:v>124.53606004136799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3.022423305099295</c:v>
                  </c:pt>
                  <c:pt idx="1">
                    <c:v>3.1669247456880925</c:v>
                  </c:pt>
                </c:numCache>
              </c:numRef>
            </c:plus>
            <c:minus>
              <c:numRef>
                <c:f>('pn foot'!$F$12,'pn foot'!$F$25,'pn foot'!$F$38)</c:f>
                <c:numCache>
                  <c:formatCode>General</c:formatCode>
                  <c:ptCount val="3"/>
                  <c:pt idx="0">
                    <c:v>3.022423305099295</c:v>
                  </c:pt>
                  <c:pt idx="1">
                    <c:v>3.1669247456880925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foot'!$B$6,'pn foot'!$B$19)</c:f>
              <c:numCache>
                <c:formatCode>0</c:formatCode>
                <c:ptCount val="2"/>
                <c:pt idx="0">
                  <c:v>122.053</c:v>
                </c:pt>
                <c:pt idx="1">
                  <c:v>253.80699999999999</c:v>
                </c:pt>
              </c:numCache>
            </c:numRef>
          </c:xVal>
          <c:yVal>
            <c:numRef>
              <c:f>('pn foot'!$B$12,'pn foot'!$B$25)</c:f>
              <c:numCache>
                <c:formatCode>0.0</c:formatCode>
                <c:ptCount val="2"/>
                <c:pt idx="0">
                  <c:v>84.962999999999994</c:v>
                </c:pt>
                <c:pt idx="1">
                  <c:v>88.436999999999998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5-4805-8095-47C5886D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366450918296155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foot'!$B$16:$B$19</c:f>
              <c:numCache>
                <c:formatCode>0</c:formatCode>
                <c:ptCount val="4"/>
                <c:pt idx="0">
                  <c:v>186.215</c:v>
                </c:pt>
                <c:pt idx="1">
                  <c:v>217.30199999999999</c:v>
                </c:pt>
                <c:pt idx="2">
                  <c:v>239.34</c:v>
                </c:pt>
                <c:pt idx="3">
                  <c:v>253.80699999999999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4-42AE-9D47-1D8030F0E20B}"/>
            </c:ext>
          </c:extLst>
        </c:ser>
        <c:ser>
          <c:idx val="2"/>
          <c:order val="1"/>
          <c:tx>
            <c:strRef>
              <c:f>'pn foot'!$A$2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plus>
            <c:minus>
              <c:numRef>
                <c:f>'pn foot'!$F$16:$F$19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131.96141861125</c:v>
                  </c:pt>
                  <c:pt idx="2">
                    <c:v>121.778727606516</c:v>
                  </c:pt>
                  <c:pt idx="3">
                    <c:v>124.53606004136799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foot'!$B$3:$B$6</c:f>
              <c:numCache>
                <c:formatCode>0</c:formatCode>
                <c:ptCount val="4"/>
                <c:pt idx="0">
                  <c:v>87.521000000000001</c:v>
                </c:pt>
                <c:pt idx="1">
                  <c:v>96.442999999999998</c:v>
                </c:pt>
                <c:pt idx="2">
                  <c:v>102.935</c:v>
                </c:pt>
                <c:pt idx="3">
                  <c:v>122.053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4-42AE-9D47-1D8030F0E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6907430555555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 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foot'!$A$21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foot'!$B$22:$B$25</c:f>
              <c:numCache>
                <c:formatCode>0.0</c:formatCode>
                <c:ptCount val="4"/>
                <c:pt idx="0">
                  <c:v>87.722999999999999</c:v>
                </c:pt>
                <c:pt idx="1">
                  <c:v>87.998999999999995</c:v>
                </c:pt>
                <c:pt idx="2">
                  <c:v>88.537000000000006</c:v>
                </c:pt>
                <c:pt idx="3">
                  <c:v>88.436999999999998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988-ABD7-DC1DE2CCB9BF}"/>
            </c:ext>
          </c:extLst>
        </c:ser>
        <c:ser>
          <c:idx val="2"/>
          <c:order val="1"/>
          <c:tx>
            <c:strRef>
              <c:f>'pn foot'!$A$8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plus>
            <c:minus>
              <c:numRef>
                <c:f>'pn foot'!$F$22:$F$25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3.1436982758591938</c:v>
                  </c:pt>
                  <c:pt idx="2">
                    <c:v>3.1768924866178025</c:v>
                  </c:pt>
                  <c:pt idx="3">
                    <c:v>3.1669247456880925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foot'!$B$9:$B$12</c:f>
              <c:numCache>
                <c:formatCode>0.0</c:formatCode>
                <c:ptCount val="4"/>
                <c:pt idx="0">
                  <c:v>85.227999999999994</c:v>
                </c:pt>
                <c:pt idx="1">
                  <c:v>85.132000000000005</c:v>
                </c:pt>
                <c:pt idx="2">
                  <c:v>85.028000000000006</c:v>
                </c:pt>
                <c:pt idx="3">
                  <c:v>84.962999999999994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988-ABD7-DC1DE2CCB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6.6479472698533451E-2"/>
              <c:y val="0.33223402777777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/>
            </a:pPr>
            <a:r>
              <a:rPr lang="en-US" sz="900" b="0"/>
              <a:t>Estimated PN tonal targets (L*H)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'pn ana'!$A$3</c:f>
              <c:strCache>
                <c:ptCount val="1"/>
                <c:pt idx="0">
                  <c:v>ana_0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8"/>
            <c:spPr>
              <a:solidFill>
                <a:srgbClr val="1B9E77"/>
              </a:solidFill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63C-46ED-97D2-058F4FF258AC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plus>
            <c:minus>
              <c:numRef>
                <c:f>('pn ana'!$F$3,'pn ana'!$F$16,'pn ana'!$F$29)</c:f>
                <c:numCache>
                  <c:formatCode>General</c:formatCode>
                  <c:ptCount val="3"/>
                  <c:pt idx="0">
                    <c:v>229.70503132901899</c:v>
                  </c:pt>
                  <c:pt idx="1">
                    <c:v>128.93398554068619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plus>
            <c:minus>
              <c:numRef>
                <c:f>('pn ana'!$F$9,'pn ana'!$F$22,'pn ana'!$F$35)</c:f>
                <c:numCache>
                  <c:formatCode>General</c:formatCode>
                  <c:ptCount val="3"/>
                  <c:pt idx="0">
                    <c:v>3.0277457279758977</c:v>
                  </c:pt>
                  <c:pt idx="1">
                    <c:v>3.1554464975958041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('pn ana'!$B$3,'pn ana'!$B$16)</c:f>
              <c:numCache>
                <c:formatCode>0</c:formatCode>
                <c:ptCount val="2"/>
                <c:pt idx="0">
                  <c:v>87.521000000000001</c:v>
                </c:pt>
                <c:pt idx="1">
                  <c:v>186.215</c:v>
                </c:pt>
              </c:numCache>
            </c:numRef>
          </c:xVal>
          <c:yVal>
            <c:numRef>
              <c:f>('pn ana'!$B$9,'pn ana'!$B$22)</c:f>
              <c:numCache>
                <c:formatCode>0.0</c:formatCode>
                <c:ptCount val="2"/>
                <c:pt idx="0">
                  <c:v>85.227999999999994</c:v>
                </c:pt>
                <c:pt idx="1">
                  <c:v>87.722999999999999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C-46ED-97D2-058F4FF258AC}"/>
            </c:ext>
          </c:extLst>
        </c:ser>
        <c:ser>
          <c:idx val="2"/>
          <c:order val="1"/>
          <c:tx>
            <c:strRef>
              <c:f>'pn ana'!$A$4</c:f>
              <c:strCache>
                <c:ptCount val="1"/>
                <c:pt idx="0">
                  <c:v>ana_1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3.0133396377334094</c:v>
                  </c:pt>
                  <c:pt idx="1">
                    <c:v>2.8252074723890956</c:v>
                  </c:pt>
                </c:numCache>
              </c:numRef>
            </c:plus>
            <c:minus>
              <c:numRef>
                <c:f>('pn ana'!$F$10,'pn ana'!$F$23,'pn ana'!$F$37)</c:f>
                <c:numCache>
                  <c:formatCode>General</c:formatCode>
                  <c:ptCount val="3"/>
                  <c:pt idx="0">
                    <c:v>3.0133396377334094</c:v>
                  </c:pt>
                  <c:pt idx="1">
                    <c:v>2.8252074723890956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76.5909128428668</c:v>
                  </c:pt>
                  <c:pt idx="1">
                    <c:v>39.513957004873006</c:v>
                  </c:pt>
                </c:numCache>
              </c:numRef>
            </c:plus>
            <c:minus>
              <c:numRef>
                <c:f>('pn ana'!$F$4,'pn ana'!$F$17,'pn ana'!$F$30)</c:f>
                <c:numCache>
                  <c:formatCode>General</c:formatCode>
                  <c:ptCount val="3"/>
                  <c:pt idx="0">
                    <c:v>76.5909128428668</c:v>
                  </c:pt>
                  <c:pt idx="1">
                    <c:v>39.513957004873006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ana'!$B$4,'pn ana'!$B$17)</c:f>
              <c:numCache>
                <c:formatCode>0</c:formatCode>
                <c:ptCount val="2"/>
                <c:pt idx="0">
                  <c:v>28.847000000000001</c:v>
                </c:pt>
                <c:pt idx="1">
                  <c:v>151.989</c:v>
                </c:pt>
              </c:numCache>
            </c:numRef>
          </c:xVal>
          <c:yVal>
            <c:numRef>
              <c:f>('pn ana'!$B$10,'pn ana'!$B$23)</c:f>
              <c:numCache>
                <c:formatCode>0.0</c:formatCode>
                <c:ptCount val="2"/>
                <c:pt idx="0">
                  <c:v>86.135000000000005</c:v>
                </c:pt>
                <c:pt idx="1">
                  <c:v>88.337999999999994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C-46ED-97D2-058F4FF258AC}"/>
            </c:ext>
          </c:extLst>
        </c:ser>
        <c:ser>
          <c:idx val="3"/>
          <c:order val="2"/>
          <c:tx>
            <c:strRef>
              <c:f>'pn ana'!$A$5</c:f>
              <c:strCache>
                <c:ptCount val="1"/>
                <c:pt idx="0">
                  <c:v>ana_2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171.98108414506402</c:v>
                  </c:pt>
                  <c:pt idx="1">
                    <c:v>72.450722025860983</c:v>
                  </c:pt>
                </c:numCache>
              </c:numRef>
            </c:plus>
            <c:minus>
              <c:numRef>
                <c:f>('pn ana'!$F$5,'pn ana'!$F$18,'pn ana'!$F$31)</c:f>
                <c:numCache>
                  <c:formatCode>General</c:formatCode>
                  <c:ptCount val="3"/>
                  <c:pt idx="0">
                    <c:v>171.98108414506402</c:v>
                  </c:pt>
                  <c:pt idx="1">
                    <c:v>72.450722025860983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3.0269080506953969</c:v>
                  </c:pt>
                  <c:pt idx="1">
                    <c:v>2.9172747037978013</c:v>
                  </c:pt>
                </c:numCache>
              </c:numRef>
            </c:plus>
            <c:minus>
              <c:numRef>
                <c:f>('pn ana'!$F$11,'pn ana'!$F$24,'pn ana'!$F$37)</c:f>
                <c:numCache>
                  <c:formatCode>General</c:formatCode>
                  <c:ptCount val="3"/>
                  <c:pt idx="0">
                    <c:v>3.0269080506953969</c:v>
                  </c:pt>
                  <c:pt idx="1">
                    <c:v>2.9172747037978013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ana'!$B$5,'pn ana'!$B$18)</c:f>
              <c:numCache>
                <c:formatCode>0</c:formatCode>
                <c:ptCount val="2"/>
                <c:pt idx="0">
                  <c:v>70.17</c:v>
                </c:pt>
                <c:pt idx="1">
                  <c:v>224.31399999999999</c:v>
                </c:pt>
              </c:numCache>
            </c:numRef>
          </c:xVal>
          <c:yVal>
            <c:numRef>
              <c:f>('pn ana'!$B$11,'pn ana'!$B$24)</c:f>
              <c:numCache>
                <c:formatCode>0.0</c:formatCode>
                <c:ptCount val="2"/>
                <c:pt idx="0">
                  <c:v>85.457999999999998</c:v>
                </c:pt>
                <c:pt idx="1">
                  <c:v>88.484999999999999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C-46ED-97D2-058F4FF258AC}"/>
            </c:ext>
          </c:extLst>
        </c:ser>
        <c:ser>
          <c:idx val="0"/>
          <c:order val="3"/>
          <c:tx>
            <c:strRef>
              <c:f>'pn ana'!$A$6</c:f>
              <c:strCache>
                <c:ptCount val="1"/>
                <c:pt idx="0">
                  <c:v>ana_3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172.19912449996679</c:v>
                  </c:pt>
                  <c:pt idx="1">
                    <c:v>72.43113901333399</c:v>
                  </c:pt>
                </c:numCache>
              </c:numRef>
            </c:plus>
            <c:minus>
              <c:numRef>
                <c:f>('pn ana'!$F$6,'pn ana'!$F$19,'pn ana'!$F$32)</c:f>
                <c:numCache>
                  <c:formatCode>General</c:formatCode>
                  <c:ptCount val="3"/>
                  <c:pt idx="0">
                    <c:v>172.19912449996679</c:v>
                  </c:pt>
                  <c:pt idx="1">
                    <c:v>72.43113901333399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3.0274157666644896</c:v>
                  </c:pt>
                  <c:pt idx="1">
                    <c:v>2.9178042971464038</c:v>
                  </c:pt>
                </c:numCache>
              </c:numRef>
            </c:plus>
            <c:minus>
              <c:numRef>
                <c:f>('pn ana'!$F$12,'pn ana'!$F$25,'pn ana'!$F$38)</c:f>
                <c:numCache>
                  <c:formatCode>General</c:formatCode>
                  <c:ptCount val="3"/>
                  <c:pt idx="0">
                    <c:v>3.0274157666644896</c:v>
                  </c:pt>
                  <c:pt idx="1">
                    <c:v>2.9178042971464038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('pn ana'!$B$6,'pn ana'!$B$19)</c:f>
              <c:numCache>
                <c:formatCode>0</c:formatCode>
                <c:ptCount val="2"/>
                <c:pt idx="0">
                  <c:v>80.019000000000005</c:v>
                </c:pt>
                <c:pt idx="1">
                  <c:v>237.428</c:v>
                </c:pt>
              </c:numCache>
            </c:numRef>
          </c:xVal>
          <c:yVal>
            <c:numRef>
              <c:f>('pn ana'!$B$12,'pn ana'!$B$25)</c:f>
              <c:numCache>
                <c:formatCode>0.0</c:formatCode>
                <c:ptCount val="2"/>
                <c:pt idx="0">
                  <c:v>85.32</c:v>
                </c:pt>
                <c:pt idx="1">
                  <c:v>87.78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C-46ED-97D2-058F4FF2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100"/>
        <c:minorUnit val="20"/>
      </c:valAx>
      <c:valAx>
        <c:axId val="501389184"/>
        <c:scaling>
          <c:orientation val="minMax"/>
          <c:max val="92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At val="-50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0144518518518519"/>
          <c:y val="0.55971000000000004"/>
          <c:w val="0.28862060041407867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Est. alignment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ana'!$A$15</c:f>
              <c:strCache>
                <c:ptCount val="1"/>
                <c:pt idx="0">
                  <c:v>h_t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ana'!$B$16:$B$19</c:f>
              <c:numCache>
                <c:formatCode>0</c:formatCode>
                <c:ptCount val="4"/>
                <c:pt idx="0">
                  <c:v>186.215</c:v>
                </c:pt>
                <c:pt idx="1">
                  <c:v>151.989</c:v>
                </c:pt>
                <c:pt idx="2">
                  <c:v>224.31399999999999</c:v>
                </c:pt>
                <c:pt idx="3">
                  <c:v>237.428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3-4AA9-B109-D996ABD7E104}"/>
            </c:ext>
          </c:extLst>
        </c:ser>
        <c:ser>
          <c:idx val="2"/>
          <c:order val="1"/>
          <c:tx>
            <c:strRef>
              <c:f>'pn ana'!$A$2</c:f>
              <c:strCache>
                <c:ptCount val="1"/>
                <c:pt idx="0">
                  <c:v>l_t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plus>
            <c:minus>
              <c:numRef>
                <c:f>'pn ana'!$F$16:$F$19</c:f>
                <c:numCache>
                  <c:formatCode>General</c:formatCode>
                  <c:ptCount val="4"/>
                  <c:pt idx="0">
                    <c:v>128.93398554068619</c:v>
                  </c:pt>
                  <c:pt idx="1">
                    <c:v>39.513957004873006</c:v>
                  </c:pt>
                  <c:pt idx="2">
                    <c:v>72.450722025860983</c:v>
                  </c:pt>
                  <c:pt idx="3">
                    <c:v>72.43113901333399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/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ana'!$B$3:$B$6</c:f>
              <c:numCache>
                <c:formatCode>0</c:formatCode>
                <c:ptCount val="4"/>
                <c:pt idx="0">
                  <c:v>87.521000000000001</c:v>
                </c:pt>
                <c:pt idx="1">
                  <c:v>28.847000000000001</c:v>
                </c:pt>
                <c:pt idx="2">
                  <c:v>70.17</c:v>
                </c:pt>
                <c:pt idx="3">
                  <c:v>80.019000000000005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3-4AA9-B109-D996ABD7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400"/>
          <c:min val="-5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5.0328037027950211E-2"/>
              <c:y val="0.19553263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50"/>
        <c:min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/>
              <a:t>Estimated </a:t>
            </a:r>
            <a:r>
              <a:rPr lang="en-US" sz="900" i="1"/>
              <a:t>f</a:t>
            </a:r>
            <a:r>
              <a:rPr lang="en-US" sz="900" baseline="-25000"/>
              <a:t>0</a:t>
            </a:r>
            <a:r>
              <a:rPr lang="en-US" sz="900"/>
              <a:t> of PN L and H re foot_syls (L*H)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'pn ana'!$A$21</c:f>
              <c:strCache>
                <c:ptCount val="1"/>
                <c:pt idx="0">
                  <c:v>h_f0</c:v>
                </c:pt>
              </c:strCache>
            </c:strRef>
          </c:tx>
          <c:spPr>
            <a:ln w="1270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ana'!$B$22:$B$25</c:f>
              <c:numCache>
                <c:formatCode>0.0</c:formatCode>
                <c:ptCount val="4"/>
                <c:pt idx="0">
                  <c:v>87.722999999999999</c:v>
                </c:pt>
                <c:pt idx="1">
                  <c:v>88.337999999999994</c:v>
                </c:pt>
                <c:pt idx="2">
                  <c:v>88.484999999999999</c:v>
                </c:pt>
                <c:pt idx="3">
                  <c:v>87.78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4-43C1-9BDD-255F356E465B}"/>
            </c:ext>
          </c:extLst>
        </c:ser>
        <c:ser>
          <c:idx val="2"/>
          <c:order val="1"/>
          <c:tx>
            <c:strRef>
              <c:f>'pn ana'!$A$8</c:f>
              <c:strCache>
                <c:ptCount val="1"/>
                <c:pt idx="0">
                  <c:v>l_f0</c:v>
                </c:pt>
              </c:strCache>
            </c:strRef>
          </c:tx>
          <c:spPr>
            <a:ln w="12700" cap="rnd">
              <a:solidFill>
                <a:srgbClr val="D95F0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plus>
            <c:minus>
              <c:numRef>
                <c:f>'pn ana'!$F$22:$F$25</c:f>
                <c:numCache>
                  <c:formatCode>General</c:formatCode>
                  <c:ptCount val="4"/>
                  <c:pt idx="0">
                    <c:v>3.1554464975958041</c:v>
                  </c:pt>
                  <c:pt idx="1">
                    <c:v>2.8252074723890956</c:v>
                  </c:pt>
                  <c:pt idx="2">
                    <c:v>2.9172747037978013</c:v>
                  </c:pt>
                  <c:pt idx="3">
                    <c:v>2.9178042971464038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'pn ana'!$A$3:$A$6</c:f>
              <c:strCache>
                <c:ptCount val="4"/>
                <c:pt idx="0">
                  <c:v>ana_0</c:v>
                </c:pt>
                <c:pt idx="1">
                  <c:v>ana_1</c:v>
                </c:pt>
                <c:pt idx="2">
                  <c:v>ana_2</c:v>
                </c:pt>
                <c:pt idx="3">
                  <c:v>ana_3</c:v>
                </c:pt>
              </c:strCache>
            </c:strRef>
          </c:cat>
          <c:val>
            <c:numRef>
              <c:f>'pn ana'!$B$9:$B$12</c:f>
              <c:numCache>
                <c:formatCode>0.0</c:formatCode>
                <c:ptCount val="4"/>
                <c:pt idx="0">
                  <c:v>85.227999999999994</c:v>
                </c:pt>
                <c:pt idx="1">
                  <c:v>86.135000000000005</c:v>
                </c:pt>
                <c:pt idx="2">
                  <c:v>85.457999999999998</c:v>
                </c:pt>
                <c:pt idx="3">
                  <c:v>85.32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4-43C1-9BDD-255F356E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2"/>
          <c:min val="82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/>
                  <a:t>f</a:t>
                </a:r>
                <a:r>
                  <a:rPr lang="en-US" sz="900" baseline="-25000"/>
                  <a:t>0</a:t>
                </a:r>
                <a:r>
                  <a:rPr lang="en-US" sz="900"/>
                  <a:t> (ST re 1 Hz)</a:t>
                </a:r>
              </a:p>
            </c:rich>
          </c:tx>
          <c:layout>
            <c:manualLayout>
              <c:xMode val="edge"/>
              <c:yMode val="edge"/>
              <c:x val="7.0512091824325135E-2"/>
              <c:y val="0.31459513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60755106142528"/>
          <c:y val="0.1186387099442883"/>
          <c:w val="0.63079731274731721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58-43DB-A30E-F6CB6FA46978}"/>
                </c:ext>
              </c:extLst>
            </c:dLbl>
            <c:dLbl>
              <c:idx val="1"/>
              <c:layout>
                <c:manualLayout>
                  <c:x val="3.7309700897940994E-2"/>
                  <c:y val="-2.9619747414658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E7298A"/>
                      </a:solidFill>
                      <a:prstDash val="sysDash"/>
                    </a:ln>
                  </c:spPr>
                </c15:leaderLines>
              </c:ext>
            </c:extLst>
          </c:dLbls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exc'!$D$20:$D$21</c:f>
              <c:numCache>
                <c:formatCode>0.0</c:formatCode>
                <c:ptCount val="2"/>
                <c:pt idx="0">
                  <c:v>0</c:v>
                </c:pt>
                <c:pt idx="1">
                  <c:v>13.504189896560144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F58-43DB-A30E-F6CB6FA4697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8-43DB-A30E-F6CB6FA46978}"/>
                </c:ext>
              </c:extLst>
            </c:dLbl>
            <c:dLbl>
              <c:idx val="1"/>
              <c:layout>
                <c:manualLayout>
                  <c:x val="3.3634244834345219E-2"/>
                  <c:y val="7.375536274205840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53526936775758"/>
                      <c:h val="6.6447487494346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47298A"/>
                      </a:solidFill>
                      <a:prstDash val="sysDot"/>
                    </a:ln>
                  </c:spPr>
                </c15:leaderLines>
              </c:ext>
            </c:extLst>
          </c:dLbls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exc'!$D$18:$D$19</c:f>
              <c:numCache>
                <c:formatCode>0.0</c:formatCode>
                <c:ptCount val="2"/>
                <c:pt idx="0">
                  <c:v>0</c:v>
                </c:pt>
                <c:pt idx="1">
                  <c:v>13.013665530536809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F58-43DB-A30E-F6CB6FA4697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8-43DB-A30E-F6CB6FA46978}"/>
                </c:ext>
              </c:extLst>
            </c:dLbl>
            <c:dLbl>
              <c:idx val="1"/>
              <c:layout>
                <c:manualLayout>
                  <c:x val="3.7659757435577937E-2"/>
                  <c:y val="4.92203611069232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D95F02"/>
                      </a:solidFill>
                    </a:ln>
                  </c:spPr>
                </c15:leaderLines>
              </c:ext>
            </c:extLst>
          </c:dLbls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exc'!$D$16:$D$17</c:f>
              <c:numCache>
                <c:formatCode>0.0</c:formatCode>
                <c:ptCount val="2"/>
                <c:pt idx="0">
                  <c:v>0</c:v>
                </c:pt>
                <c:pt idx="1">
                  <c:v>11.623163959127988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F58-43DB-A30E-F6CB6FA4697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58-43DB-A30E-F6CB6FA46978}"/>
                </c:ext>
              </c:extLst>
            </c:dLbl>
            <c:dLbl>
              <c:idx val="1"/>
              <c:layout>
                <c:manualLayout>
                  <c:x val="3.8211730200932777E-2"/>
                  <c:y val="-3.9350652430039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58-43DB-A30E-F6CB6FA469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>
                      <a:solidFill>
                        <a:srgbClr val="1B9E77"/>
                      </a:solidFill>
                      <a:prstDash val="dash"/>
                    </a:ln>
                  </c:spPr>
                </c15:leaderLines>
              </c:ext>
            </c:extLst>
          </c:dLbls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exc'!$D$14:$D$15</c:f>
              <c:numCache>
                <c:formatCode>0.0</c:formatCode>
                <c:ptCount val="2"/>
                <c:pt idx="0">
                  <c:v>0</c:v>
                </c:pt>
                <c:pt idx="1">
                  <c:v>16.183626156095535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F58-43DB-A30E-F6CB6FA4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At val="0"/>
        <c:crossBetween val="midCat"/>
        <c:majorUnit val="5"/>
        <c:minorUnit val="1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8314614379236571"/>
          <c:y val="0.12853740535401165"/>
          <c:w val="0.23318072738624382"/>
          <c:h val="0.28341185185185186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4-syl L*H % and L*H L%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3"/>
          <c:tx>
            <c:strRef>
              <c:f>'nuc foot'!$A$1</c:f>
              <c:strCache>
                <c:ptCount val="1"/>
                <c:pt idx="0">
                  <c:v>%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  <c:extLst xmlns:c15="http://schemas.microsoft.com/office/drawing/2012/chart"/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60A-418C-A525-C2C59636E9F7}"/>
            </c:ext>
          </c:extLst>
        </c:ser>
        <c:ser>
          <c:idx val="7"/>
          <c:order val="4"/>
          <c:tx>
            <c:strRef>
              <c:f>'nuc foot'!$G$1</c:f>
              <c:strCache>
                <c:ptCount val="1"/>
                <c:pt idx="0">
                  <c:v>L%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pattFill prst="pct50">
                <a:fgClr>
                  <a:srgbClr val="E7298A"/>
                </a:fgClr>
                <a:bgClr>
                  <a:schemeClr val="bg1"/>
                </a:bgClr>
              </a:pattFill>
              <a:ln>
                <a:solidFill>
                  <a:srgbClr val="E7298A"/>
                </a:solidFill>
              </a:ln>
            </c:spPr>
          </c:marker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  <c:extLst xmlns:c15="http://schemas.microsoft.com/office/drawing/2012/chart"/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D60A-418C-A525-C2C59636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'nuc foot'!$H$3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 w="25400">
                    <a:solidFill>
                      <a:srgbClr val="1B9E77"/>
                    </a:solidFill>
                    <a:prstDash val="sysDot"/>
                  </a:ln>
                </c:spPr>
                <c:marker>
                  <c:symbol val="circle"/>
                  <c:size val="7"/>
                  <c:spPr>
                    <a:solidFill>
                      <a:srgbClr val="1B9E77"/>
                    </a:solidFill>
                    <a:ln>
                      <a:noFill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('nuc foot'!$I$3,'nuc foot'!$I$16,'nuc foot'!$I$29)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106.976</c:v>
                      </c:pt>
                      <c:pt idx="1">
                        <c:v>236.43199999999999</c:v>
                      </c:pt>
                      <c:pt idx="2">
                        <c:v>265.51700000000005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('nuc foot'!$I$9,'nuc foot'!$I$22,'nuc foot'!$I$35)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82.984999999999999</c:v>
                      </c:pt>
                      <c:pt idx="1">
                        <c:v>86.55</c:v>
                      </c:pt>
                      <c:pt idx="2">
                        <c:v>81.00800000000001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60A-418C-A525-C2C59636E9F7}"/>
                  </c:ext>
                </c:extLst>
              </c15:ser>
            </c15:filteredScatterSeries>
            <c15:filteredScatterSeries>
              <c15:ser>
                <c:idx val="5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25400">
                    <a:solidFill>
                      <a:srgbClr val="D95F02"/>
                    </a:solidFill>
                    <a:prstDash val="sysDot"/>
                  </a:ln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foot'!$I$4,'nuc foot'!$I$17,'nuc foot'!$I$30)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109.114</c:v>
                      </c:pt>
                      <c:pt idx="1">
                        <c:v>257.928</c:v>
                      </c:pt>
                      <c:pt idx="2">
                        <c:v>276.19200000000001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foot'!$I$10,'nuc foot'!$I$23,'nuc foot'!$I$36)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83.495000000000005</c:v>
                      </c:pt>
                      <c:pt idx="1">
                        <c:v>87.39</c:v>
                      </c:pt>
                      <c:pt idx="2">
                        <c:v>82.371000000000009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A-418C-A525-C2C59636E9F7}"/>
                  </c:ext>
                </c:extLst>
              </c15:ser>
            </c15:filteredScatterSeries>
            <c15:filteredScatte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foot'!$H$5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25400">
                    <a:solidFill>
                      <a:srgbClr val="47298A"/>
                    </a:solidFill>
                    <a:prstDash val="sysDot"/>
                  </a:ln>
                </c:spPr>
                <c:marker>
                  <c:symbol val="triangle"/>
                  <c:size val="7"/>
                  <c:spPr>
                    <a:solidFill>
                      <a:srgbClr val="47298A"/>
                    </a:solidFill>
                    <a:ln>
                      <a:noFill/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foot'!$I$5,'nuc foot'!$I$18,'nuc foot'!$I$31)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110</c:v>
                      </c:pt>
                      <c:pt idx="1">
                        <c:v>333.32399999999996</c:v>
                      </c:pt>
                      <c:pt idx="2">
                        <c:v>382.73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foot'!$I$11,'nuc foot'!$I$24,'nuc foot'!$I$37)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83.45</c:v>
                      </c:pt>
                      <c:pt idx="1">
                        <c:v>88.85199999999999</c:v>
                      </c:pt>
                      <c:pt idx="2">
                        <c:v>82.677000000000007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A-418C-A525-C2C59636E9F7}"/>
                  </c:ext>
                </c:extLst>
              </c15:ser>
            </c15:filteredScatterSeries>
            <c15:filteredScatterSeries>
              <c15:ser>
                <c:idx val="1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foot'!$A$3</c15:sqref>
                        </c15:formulaRef>
                      </c:ext>
                    </c:extLst>
                    <c:strCache>
                      <c:ptCount val="1"/>
                      <c:pt idx="0">
                        <c:v>syls1</c:v>
                      </c:pt>
                    </c:strCache>
                  </c:strRef>
                </c:tx>
                <c:spPr>
                  <a:ln>
                    <a:solidFill>
                      <a:srgbClr val="1B9E77"/>
                    </a:solidFill>
                  </a:ln>
                </c:spPr>
                <c:marker>
                  <c:symbol val="circle"/>
                  <c:size val="6"/>
                  <c:spPr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foot'!$B$3,'nuc foot'!$B$16,'nuc foot'!$B$29)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104.017</c:v>
                      </c:pt>
                      <c:pt idx="1">
                        <c:v>282.10899999999998</c:v>
                      </c:pt>
                      <c:pt idx="2">
                        <c:v>313.32600000000002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foot'!$B$9,'nuc foot'!$B$22,'nuc foot'!$B$35)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83.015000000000001</c:v>
                      </c:pt>
                      <c:pt idx="1">
                        <c:v>87.203000000000003</c:v>
                      </c:pt>
                      <c:pt idx="2">
                        <c:v>86.602000000000004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A-418C-A525-C2C59636E9F7}"/>
                  </c:ext>
                </c:extLst>
              </c15:ser>
            </c15:filteredScatterSeries>
            <c15:filteredScatterSeries>
              <c15:ser>
                <c:idx val="2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foot'!$A$4</c15:sqref>
                        </c15:formulaRef>
                      </c:ext>
                    </c:extLst>
                    <c:strCache>
                      <c:ptCount val="1"/>
                      <c:pt idx="0">
                        <c:v>syls2</c:v>
                      </c:pt>
                    </c:strCache>
                  </c:strRef>
                </c:tx>
                <c:spPr>
                  <a:ln w="19050" cap="rnd">
                    <a:solidFill>
                      <a:srgbClr val="D95F02"/>
                    </a:solidFill>
                    <a:round/>
                  </a:ln>
                  <a:effectLst/>
                </c:spPr>
                <c:marker>
                  <c:symbol val="diamond"/>
                  <c:size val="7"/>
                  <c:spPr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foot'!$B$4,'nuc foot'!$B$17,'nuc foot'!$B$30)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106.155</c:v>
                      </c:pt>
                      <c:pt idx="1">
                        <c:v>303.60500000000002</c:v>
                      </c:pt>
                      <c:pt idx="2">
                        <c:v>324.00099999999998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foot'!$B$10,'nuc foot'!$B$23,'nuc foot'!$B$36)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83.525000000000006</c:v>
                      </c:pt>
                      <c:pt idx="1">
                        <c:v>88.043000000000006</c:v>
                      </c:pt>
                      <c:pt idx="2">
                        <c:v>87.965000000000003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A-418C-A525-C2C59636E9F7}"/>
                  </c:ext>
                </c:extLst>
              </c15:ser>
            </c15:filteredScatterSeries>
            <c15:filteredScatterSeries>
              <c15:ser>
                <c:idx val="3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'nuc foot'!$A$5</c15:sqref>
                        </c15:formulaRef>
                      </c:ext>
                    </c:extLst>
                    <c:strCache>
                      <c:ptCount val="1"/>
                      <c:pt idx="0">
                        <c:v>syls3</c:v>
                      </c:pt>
                    </c:strCache>
                  </c:strRef>
                </c:tx>
                <c:spPr>
                  <a:ln w="19050" cap="rnd">
                    <a:solidFill>
                      <a:srgbClr val="47298A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47298A"/>
                    </a:solidFill>
                    <a:ln w="952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foot'!$B$5,'nuc foot'!$B$18,'nuc foot'!$B$31)</c15:sqref>
                        </c15:formulaRef>
                      </c:ext>
                    </c:extLst>
                    <c:numCache>
                      <c:formatCode>0</c:formatCode>
                      <c:ptCount val="3"/>
                      <c:pt idx="0">
                        <c:v>107.041</c:v>
                      </c:pt>
                      <c:pt idx="1">
                        <c:v>379.00099999999998</c:v>
                      </c:pt>
                      <c:pt idx="2">
                        <c:v>430.53899999999999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('nuc foot'!$B$11,'nuc foot'!$B$24,'nuc foot'!$B$37)</c15:sqref>
                        </c15:formulaRef>
                      </c:ext>
                    </c:extLst>
                    <c:numCache>
                      <c:formatCode>0.0</c:formatCode>
                      <c:ptCount val="3"/>
                      <c:pt idx="0">
                        <c:v>83.48</c:v>
                      </c:pt>
                      <c:pt idx="1">
                        <c:v>89.504999999999995</c:v>
                      </c:pt>
                      <c:pt idx="2">
                        <c:v>88.271000000000001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60A-418C-A525-C2C59636E9F7}"/>
                  </c:ext>
                </c:extLst>
              </c15:ser>
            </c15:filteredScatterSeries>
          </c:ext>
        </c:extLst>
      </c:scatterChart>
      <c:valAx>
        <c:axId val="501388352"/>
        <c:scaling>
          <c:orientation val="minMax"/>
          <c:max val="60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25537516360498763"/>
          <c:y val="0.17979767827529025"/>
          <c:w val="0.28457907624647977"/>
          <c:h val="0.17968739635157546"/>
        </c:manualLayout>
      </c:layout>
      <c:overlay val="1"/>
      <c:spPr>
        <a:solidFill>
          <a:schemeClr val="bg1"/>
        </a:solidFill>
        <a:ln w="6350"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>
                <a:latin typeface="Arial" panose="020B0604020202020204" pitchFamily="34" charset="0"/>
                <a:cs typeface="Arial" panose="020B0604020202020204" pitchFamily="34" charset="0"/>
              </a:rPr>
              <a:t>Estimated log lh_slope re foot_syls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090773647751565E-2"/>
          <c:y val="0.1186387099442883"/>
          <c:w val="0.72285442890214413"/>
          <c:h val="0.7180981481481481"/>
        </c:manualLayout>
      </c:layout>
      <c:scatterChart>
        <c:scatterStyle val="smoothMarker"/>
        <c:varyColors val="0"/>
        <c:ser>
          <c:idx val="11"/>
          <c:order val="0"/>
          <c:tx>
            <c:strRef>
              <c:f>'pn slope exc'!$A$20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ash"/>
            </a:ln>
          </c:spPr>
          <c:marker>
            <c:symbol val="none"/>
          </c:marker>
          <c:xVal>
            <c:numRef>
              <c:f>'pn slope exc'!$B$20:$B$21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exc'!$C$20:$C$21</c:f>
              <c:numCache>
                <c:formatCode>0.00</c:formatCode>
                <c:ptCount val="2"/>
                <c:pt idx="0">
                  <c:v>0</c:v>
                </c:pt>
                <c:pt idx="1">
                  <c:v>2.6030000000000002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7D5-407D-9EB2-AA89F9CDEE28}"/>
            </c:ext>
          </c:extLst>
        </c:ser>
        <c:ser>
          <c:idx val="10"/>
          <c:order val="1"/>
          <c:tx>
            <c:strRef>
              <c:f>'pn slope exc'!$A$18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none"/>
          </c:marker>
          <c:xVal>
            <c:numRef>
              <c:f>'pn slope exc'!$B$18:$B$19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exc'!$C$18:$C$19</c:f>
              <c:numCache>
                <c:formatCode>0.00</c:formatCode>
                <c:ptCount val="2"/>
                <c:pt idx="0">
                  <c:v>0</c:v>
                </c:pt>
                <c:pt idx="1">
                  <c:v>2.5659999999999998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77D5-407D-9EB2-AA89F9CDEE28}"/>
            </c:ext>
          </c:extLst>
        </c:ser>
        <c:ser>
          <c:idx val="9"/>
          <c:order val="2"/>
          <c:tx>
            <c:strRef>
              <c:f>'pn slope exc'!$A$16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olid"/>
            </a:ln>
          </c:spPr>
          <c:marker>
            <c:symbol val="none"/>
          </c:marker>
          <c:xVal>
            <c:numRef>
              <c:f>'pn slope exc'!$B$16:$B$17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exc'!$C$16:$C$17</c:f>
              <c:numCache>
                <c:formatCode>0.00</c:formatCode>
                <c:ptCount val="2"/>
                <c:pt idx="0">
                  <c:v>0</c:v>
                </c:pt>
                <c:pt idx="1">
                  <c:v>2.4529999999999998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77D5-407D-9EB2-AA89F9CDEE28}"/>
            </c:ext>
          </c:extLst>
        </c:ser>
        <c:ser>
          <c:idx val="8"/>
          <c:order val="3"/>
          <c:tx>
            <c:strRef>
              <c:f>'pn slope exc'!$A$14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dash"/>
            </a:ln>
          </c:spPr>
          <c:marker>
            <c:symbol val="none"/>
          </c:marker>
          <c:xVal>
            <c:numRef>
              <c:f>'pn slope exc'!$B$14:$B$15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'pn slope exc'!$C$14:$C$15</c:f>
              <c:numCache>
                <c:formatCode>0.00</c:formatCode>
                <c:ptCount val="2"/>
                <c:pt idx="0">
                  <c:v>0</c:v>
                </c:pt>
                <c:pt idx="1">
                  <c:v>2.7839999999999998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D5-407D-9EB2-AA89F9CD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857903"/>
        <c:axId val="755857071"/>
        <c:extLst/>
      </c:scatterChart>
      <c:valAx>
        <c:axId val="755857903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IE" sz="900" b="0"/>
                  <a:t>secs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071"/>
        <c:crosses val="autoZero"/>
        <c:crossBetween val="midCat"/>
        <c:majorUnit val="0.2"/>
        <c:minorUnit val="0.1"/>
      </c:valAx>
      <c:valAx>
        <c:axId val="755857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900" b="0">
                    <a:solidFill>
                      <a:schemeClr val="tx1"/>
                    </a:solidFill>
                  </a:defRPr>
                </a:pPr>
                <a:r>
                  <a:rPr lang="en-IE" sz="900" b="0" i="1">
                    <a:solidFill>
                      <a:schemeClr val="tx1"/>
                    </a:solidFill>
                  </a:rPr>
                  <a:t>f</a:t>
                </a:r>
                <a:r>
                  <a:rPr lang="en-IE" sz="900" b="0" baseline="-25000">
                    <a:solidFill>
                      <a:schemeClr val="tx1"/>
                    </a:solidFill>
                  </a:rPr>
                  <a:t>0</a:t>
                </a:r>
                <a:r>
                  <a:rPr lang="en-IE" sz="900" b="0">
                    <a:solidFill>
                      <a:schemeClr val="tx1"/>
                    </a:solidFill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755857903"/>
        <c:crosses val="max"/>
        <c:crossBetween val="midCat"/>
        <c:majorUnit val="1"/>
        <c:minorUnit val="0.2"/>
      </c:valAx>
      <c:spPr>
        <a:ln>
          <a:solidFill>
            <a:schemeClr val="tx1">
              <a:lumMod val="25000"/>
              <a:lumOff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9.0809748534842333E-2"/>
          <c:y val="0.13839592592592589"/>
          <c:w val="0.28227747892844907"/>
          <c:h val="0.32104148148148148"/>
        </c:manualLayout>
      </c:layout>
      <c:overlay val="0"/>
      <c:spPr>
        <a:solidFill>
          <a:schemeClr val="bg1"/>
        </a:solidFill>
        <a:ln>
          <a:solidFill>
            <a:schemeClr val="tx1">
              <a:lumMod val="25000"/>
              <a:lumOff val="75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3-46D9-BB56-2099DA7B7A22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3-46D9-BB56-2099DA7B7A22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3-46D9-BB56-2099DA7B7A22}"/>
              </c:ext>
            </c:extLst>
          </c:dPt>
          <c:errBars>
            <c:errBarType val="both"/>
            <c:errValType val="cust"/>
            <c:noEndCap val="0"/>
            <c:plus>
              <c:numRef>
                <c:f>'pn slope exc'!$F$2:$F$5</c:f>
                <c:numCache>
                  <c:formatCode>General</c:formatCode>
                  <c:ptCount val="4"/>
                  <c:pt idx="0">
                    <c:v>7.6542019279553797</c:v>
                  </c:pt>
                  <c:pt idx="1">
                    <c:v>7.8240381452207099</c:v>
                  </c:pt>
                  <c:pt idx="2">
                    <c:v>7.3917493772178195</c:v>
                  </c:pt>
                  <c:pt idx="3">
                    <c:v>7.5410123724501297</c:v>
                  </c:pt>
                </c:numCache>
              </c:numRef>
            </c:plus>
            <c:minus>
              <c:numRef>
                <c:f>'pn slope exc'!$F$2:$F$5</c:f>
                <c:numCache>
                  <c:formatCode>General</c:formatCode>
                  <c:ptCount val="4"/>
                  <c:pt idx="0">
                    <c:v>7.6542019279553797</c:v>
                  </c:pt>
                  <c:pt idx="1">
                    <c:v>7.8240381452207099</c:v>
                  </c:pt>
                  <c:pt idx="2">
                    <c:v>7.3917493772178195</c:v>
                  </c:pt>
                  <c:pt idx="3">
                    <c:v>7.5410123724501297</c:v>
                  </c:pt>
                </c:numCache>
              </c:numRef>
            </c:minus>
          </c:errBars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1.298</c:v>
                </c:pt>
                <c:pt idx="1">
                  <c:v>1.405</c:v>
                </c:pt>
                <c:pt idx="2">
                  <c:v>1.8879999999999999</c:v>
                </c:pt>
                <c:pt idx="3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83-46D9-BB56-2099DA7B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50-4CF9-B470-8866AF3301CD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50-4CF9-B470-8866AF3301CD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250-4CF9-B470-8866AF3301CD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250-4CF9-B470-8866AF3301C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'pn slope exc'!$F$8:$F$11</c:f>
                <c:numCache>
                  <c:formatCode>General</c:formatCode>
                  <c:ptCount val="4"/>
                  <c:pt idx="0">
                    <c:v>2.8908471343932236</c:v>
                  </c:pt>
                  <c:pt idx="1">
                    <c:v>2.9667175115032389</c:v>
                  </c:pt>
                  <c:pt idx="2">
                    <c:v>2.7260738135945211</c:v>
                  </c:pt>
                  <c:pt idx="3">
                    <c:v>2.8208752204386234</c:v>
                  </c:pt>
                </c:numCache>
              </c:numRef>
            </c:plus>
            <c:minus>
              <c:numRef>
                <c:f>'pn slope exc'!$F$8:$F$11</c:f>
                <c:numCache>
                  <c:formatCode>General</c:formatCode>
                  <c:ptCount val="4"/>
                  <c:pt idx="0">
                    <c:v>2.8908471343932236</c:v>
                  </c:pt>
                  <c:pt idx="1">
                    <c:v>2.9667175115032389</c:v>
                  </c:pt>
                  <c:pt idx="2">
                    <c:v>2.7260738135945211</c:v>
                  </c:pt>
                  <c:pt idx="3">
                    <c:v>2.8208752204386234</c:v>
                  </c:pt>
                </c:numCache>
              </c:numRef>
            </c:minus>
          </c:errBars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2.7839999999999998</c:v>
                </c:pt>
                <c:pt idx="1">
                  <c:v>2.4529999999999998</c:v>
                </c:pt>
                <c:pt idx="2">
                  <c:v>2.5659999999999998</c:v>
                </c:pt>
                <c:pt idx="3">
                  <c:v>2.6030000000000002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0-4CF9-B470-8866AF33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f</a:t>
            </a:r>
            <a:r>
              <a:rPr lang="en-US" sz="1000" b="0" baseline="-25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 excursion 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f0</c:v>
          </c:tx>
          <c:spPr>
            <a:solidFill>
              <a:srgbClr val="1B9E77"/>
            </a:solidFill>
            <a:ln>
              <a:solidFill>
                <a:schemeClr val="tx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D95F0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C-488D-A419-BB9046F220AF}"/>
              </c:ext>
            </c:extLst>
          </c:dPt>
          <c:dPt>
            <c:idx val="2"/>
            <c:invertIfNegative val="0"/>
            <c:bubble3D val="0"/>
            <c:spPr>
              <a:solidFill>
                <a:srgbClr val="7570B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C-488D-A419-BB9046F220A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BC-488D-A419-BB9046F220AF}"/>
              </c:ext>
            </c:extLst>
          </c:dPt>
          <c:cat>
            <c:strRef>
              <c:f>'pn slope exc'!$A$2:$A$5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exc'!$B$2:$B$5</c:f>
              <c:numCache>
                <c:formatCode>0.00</c:formatCode>
                <c:ptCount val="4"/>
                <c:pt idx="0">
                  <c:v>1.298</c:v>
                </c:pt>
                <c:pt idx="1">
                  <c:v>1.405</c:v>
                </c:pt>
                <c:pt idx="2">
                  <c:v>1.8879999999999999</c:v>
                </c:pt>
                <c:pt idx="3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C-488D-A419-BB9046F2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45903376"/>
        <c:axId val="1845907120"/>
      </c:bar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Estimated</a:t>
            </a:r>
            <a:r>
              <a:rPr lang="en-US" sz="1000" b="0" i="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 i="0">
                <a:latin typeface="Arial" panose="020B0604020202020204" pitchFamily="34" charset="0"/>
                <a:cs typeface="Arial" panose="020B0604020202020204" pitchFamily="34" charset="0"/>
              </a:rPr>
              <a:t>log lh_slope</a:t>
            </a:r>
            <a:r>
              <a:rPr lang="en-US" sz="1000" b="0" i="1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000" b="0">
                <a:latin typeface="Arial" panose="020B0604020202020204" pitchFamily="34" charset="0"/>
                <a:cs typeface="Arial" panose="020B0604020202020204" pitchFamily="34" charset="0"/>
              </a:rPr>
              <a:t>re foot_syls</a:t>
            </a:r>
          </a:p>
        </c:rich>
      </c:tx>
      <c:layout>
        <c:manualLayout>
          <c:xMode val="edge"/>
          <c:yMode val="edge"/>
          <c:x val="0.20261714209809717"/>
          <c:y val="3.703703703703703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dPt>
            <c:idx val="0"/>
            <c:marker>
              <c:symbol val="circle"/>
              <c:size val="7"/>
              <c:spPr>
                <a:solidFill>
                  <a:srgbClr val="1B9E77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99-4860-88A1-D64AC645C3C6}"/>
              </c:ext>
            </c:extLst>
          </c:dPt>
          <c:dPt>
            <c:idx val="1"/>
            <c:marker>
              <c:symbol val="diamond"/>
              <c:size val="8"/>
              <c:spPr>
                <a:solidFill>
                  <a:srgbClr val="D95F02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99-4860-88A1-D64AC645C3C6}"/>
              </c:ext>
            </c:extLst>
          </c:dPt>
          <c:dPt>
            <c:idx val="2"/>
            <c:marker>
              <c:symbol val="triangle"/>
              <c:size val="8"/>
              <c:spPr>
                <a:solidFill>
                  <a:srgbClr val="7570B3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99-4860-88A1-D64AC645C3C6}"/>
              </c:ext>
            </c:extLst>
          </c:dPt>
          <c:dPt>
            <c:idx val="3"/>
            <c:marker>
              <c:symbol val="square"/>
              <c:size val="7"/>
              <c:spPr>
                <a:solidFill>
                  <a:srgbClr val="E7298A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99-4860-88A1-D64AC645C3C6}"/>
              </c:ext>
            </c:extLst>
          </c:dPt>
          <c:cat>
            <c:strRef>
              <c:f>'pn slope exc'!$A$8:$A$11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'pn slope exc'!$B$8:$B$11</c:f>
              <c:numCache>
                <c:formatCode>0.00</c:formatCode>
                <c:ptCount val="4"/>
                <c:pt idx="0">
                  <c:v>2.7839999999999998</c:v>
                </c:pt>
                <c:pt idx="1">
                  <c:v>2.4529999999999998</c:v>
                </c:pt>
                <c:pt idx="2">
                  <c:v>2.5659999999999998</c:v>
                </c:pt>
                <c:pt idx="3">
                  <c:v>2.6030000000000002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9-4860-88A1-D64AC645C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903376"/>
        <c:axId val="1845907120"/>
      </c:lineChart>
      <c:catAx>
        <c:axId val="18459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7120"/>
        <c:crosses val="autoZero"/>
        <c:auto val="1"/>
        <c:lblAlgn val="ctr"/>
        <c:lblOffset val="100"/>
        <c:noMultiLvlLbl val="0"/>
      </c:catAx>
      <c:valAx>
        <c:axId val="1845907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 b="0" i="1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IE" b="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IE" b="0">
                    <a:latin typeface="Arial" panose="020B0604020202020204" pitchFamily="34" charset="0"/>
                    <a:cs typeface="Arial" panose="020B0604020202020204" pitchFamily="34" charset="0"/>
                  </a:rPr>
                  <a:t> (ST)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903376"/>
        <c:crosses val="autoZero"/>
        <c:crossBetween val="between"/>
        <c:majorUnit val="1"/>
        <c:minorUnit val="0.2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'PN Word Boundaries'!$A$2</c:f>
              <c:strCache>
                <c:ptCount val="1"/>
                <c:pt idx="0">
                  <c:v>Val’s is in-</c:v>
                </c:pt>
              </c:strCache>
            </c:strRef>
          </c:tx>
          <c:spPr>
            <a:solidFill>
              <a:srgbClr val="7570B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Boundaries'!$E$2:$H$2</c15:sqref>
                  </c15:fullRef>
                </c:ext>
              </c:extLst>
              <c:f>'PN Word Boundaries'!$F$2:$H$2</c:f>
              <c:numCache>
                <c:formatCode>General</c:formatCode>
                <c:ptCount val="3"/>
                <c:pt idx="0">
                  <c:v>35</c:v>
                </c:pt>
                <c:pt idx="1">
                  <c:v>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C-4CB6-AFDE-41B17C2430C4}"/>
            </c:ext>
          </c:extLst>
        </c:ser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C-4CB6-AFDE-41B17C2430C4}"/>
            </c:ext>
          </c:extLst>
        </c:ser>
        <c:ser>
          <c:idx val="4"/>
          <c:order val="4"/>
          <c:tx>
            <c:strRef>
              <c:f>'PN Word Boundaries'!$A$6</c:f>
              <c:strCache>
                <c:ptCount val="1"/>
                <c:pt idx="0">
                  <c:v>Elaine was a</c:v>
                </c:pt>
              </c:strCache>
            </c:strRef>
          </c:tx>
          <c:spPr>
            <a:solidFill>
              <a:srgbClr val="1B9E77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Boundaries'!$E$6:$H$6</c15:sqref>
                  </c15:fullRef>
                </c:ext>
              </c:extLst>
              <c:f>'PN Word Boundaries'!$F$6:$H$6</c:f>
              <c:numCache>
                <c:formatCode>General</c:formatCode>
                <c:ptCount val="3"/>
                <c:pt idx="0">
                  <c:v>35</c:v>
                </c:pt>
                <c:pt idx="1">
                  <c:v>2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1C-4CB6-AFDE-41B17C2430C4}"/>
            </c:ext>
          </c:extLst>
        </c:ser>
        <c:ser>
          <c:idx val="5"/>
          <c:order val="5"/>
          <c:tx>
            <c:strRef>
              <c:f>'PN Word Boundaries'!$A$7</c:f>
              <c:strCache>
                <c:ptCount val="1"/>
                <c:pt idx="0">
                  <c:v>Elaina’s a</c:v>
                </c:pt>
              </c:strCache>
            </c:strRef>
          </c:tx>
          <c:spPr>
            <a:solidFill>
              <a:srgbClr val="66C2A5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Boundaries'!$E$7:$H$7</c15:sqref>
                  </c15:fullRef>
                </c:ext>
              </c:extLst>
              <c:f>'PN Word Boundaries'!$F$7:$H$7</c:f>
              <c:numCache>
                <c:formatCode>General</c:formatCode>
                <c:ptCount val="3"/>
                <c:pt idx="0">
                  <c:v>51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1C-4CB6-AFDE-41B17C24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'PN Word Boundaries'!$A$4</c15:sqref>
                        </c15:formulaRef>
                      </c:ext>
                    </c:extLst>
                    <c:strCache>
                      <c:ptCount val="1"/>
                      <c:pt idx="0">
                        <c:v>Lally’s is in-</c:v>
                      </c:pt>
                    </c:strCache>
                  </c:strRef>
                </c:tx>
                <c:spPr>
                  <a:solidFill>
                    <a:srgbClr val="D95F0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Boundaries'!$E$4:$H$4</c15:sqref>
                        </c15:fullRef>
                        <c15:formulaRef>
                          <c15:sqref>'PN Word Boundaries'!$F$4:$H$4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48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D1C-4CB6-AFDE-41B17C2430C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D1C-4CB6-AFDE-41B17C2430C4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IE" sz="1000"/>
              <a:t>Prenuclear pitch</a:t>
            </a:r>
            <a:r>
              <a:rPr lang="en-IE" sz="1000" baseline="0"/>
              <a:t> accent counts per target phrase</a:t>
            </a:r>
            <a:endParaRPr lang="en-I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'PN Word Boundaries'!$A$3</c:f>
              <c:strCache>
                <c:ptCount val="1"/>
                <c:pt idx="0">
                  <c:v>Lally’s is</c:v>
                </c:pt>
              </c:strCache>
            </c:strRef>
          </c:tx>
          <c:spPr>
            <a:solidFill>
              <a:srgbClr val="8DA0CB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Boundaries'!$E$3:$H$3</c15:sqref>
                  </c15:fullRef>
                </c:ext>
              </c:extLst>
              <c:f>'PN Word Boundaries'!$F$3:$H$3</c:f>
              <c:numCache>
                <c:formatCode>General</c:formatCode>
                <c:ptCount val="3"/>
                <c:pt idx="0">
                  <c:v>46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847-BEB1-DE5B257B3296}"/>
            </c:ext>
          </c:extLst>
        </c:ser>
        <c:ser>
          <c:idx val="2"/>
          <c:order val="2"/>
          <c:tx>
            <c:strRef>
              <c:f>'PN Word Boundaries'!$A$4</c:f>
              <c:strCache>
                <c:ptCount val="1"/>
                <c:pt idx="0">
                  <c:v>Lally’s is in-</c:v>
                </c:pt>
              </c:strCache>
            </c:strRef>
          </c:tx>
          <c:spPr>
            <a:solidFill>
              <a:srgbClr val="D95F0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'PN Word Boundaries'!$E$1:$H$1</c15:sqref>
                  </c15:fullRef>
                </c:ext>
              </c:extLst>
              <c:f>'PN Word Boundaries'!$F$1:$H$1</c:f>
              <c:strCache>
                <c:ptCount val="3"/>
                <c:pt idx="0">
                  <c:v>L*H</c:v>
                </c:pt>
                <c:pt idx="1">
                  <c:v>&gt;H*</c:v>
                </c:pt>
                <c:pt idx="2">
                  <c:v>H*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'PN Word Boundaries'!$E$4:$H$4</c15:sqref>
                  </c15:fullRef>
                </c:ext>
              </c:extLst>
              <c:f>'PN Word Boundaries'!$F$4:$H$4</c:f>
              <c:numCache>
                <c:formatCode>General</c:formatCode>
                <c:ptCount val="3"/>
                <c:pt idx="0">
                  <c:v>48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8-4847-BEB1-DE5B257B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305647"/>
        <c:axId val="18892848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'PN Word Boundaries'!$A$2</c15:sqref>
                        </c15:formulaRef>
                      </c:ext>
                    </c:extLst>
                    <c:strCache>
                      <c:ptCount val="1"/>
                      <c:pt idx="0">
                        <c:v>Val’s is in-</c:v>
                      </c:pt>
                    </c:strCache>
                  </c:strRef>
                </c:tx>
                <c:spPr>
                  <a:solidFill>
                    <a:srgbClr val="7570B3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'PN Word Boundaries'!$E$2:$H$2</c15:sqref>
                        </c15:fullRef>
                        <c15:formulaRef>
                          <c15:sqref>'PN Word Boundaries'!$F$2:$H$2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6</c:v>
                      </c:pt>
                      <c:pt idx="2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688-4847-BEB1-DE5B257B32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'PN Word Boundaries'!$A$5</c15:sqref>
                        </c15:formulaRef>
                      </c:ext>
                    </c:extLst>
                    <c:strCache>
                      <c:ptCount val="1"/>
                      <c:pt idx="0">
                        <c:v>Valerie’s is</c:v>
                      </c:pt>
                    </c:strCache>
                  </c:strRef>
                </c:tx>
                <c:spPr>
                  <a:solidFill>
                    <a:srgbClr val="FC8D62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Boundaries'!$E$5:$H$5</c15:sqref>
                        </c15:fullRef>
                        <c15:formulaRef>
                          <c15:sqref>'PN Word Boundaries'!$F$5:$H$5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688-4847-BEB1-DE5B257B32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'PN Word Boundaries'!$A$6</c15:sqref>
                        </c15:formulaRef>
                      </c:ext>
                    </c:extLst>
                    <c:strCache>
                      <c:ptCount val="1"/>
                      <c:pt idx="0">
                        <c:v>Elaine was a</c:v>
                      </c:pt>
                    </c:strCache>
                  </c:strRef>
                </c:tx>
                <c:spPr>
                  <a:solidFill>
                    <a:srgbClr val="1B9E77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Boundaries'!$E$6:$H$6</c15:sqref>
                        </c15:fullRef>
                        <c15:formulaRef>
                          <c15:sqref>'PN Word Boundaries'!$F$6:$H$6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35</c:v>
                      </c:pt>
                      <c:pt idx="1">
                        <c:v>2</c:v>
                      </c:pt>
                      <c:pt idx="2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688-4847-BEB1-DE5B257B32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'PN Word Boundaries'!$A$7</c15:sqref>
                        </c15:formulaRef>
                      </c:ext>
                    </c:extLst>
                    <c:strCache>
                      <c:ptCount val="1"/>
                      <c:pt idx="0">
                        <c:v>Elaina’s a</c:v>
                      </c:pt>
                    </c:strCache>
                  </c:strRef>
                </c:tx>
                <c:spPr>
                  <a:solidFill>
                    <a:srgbClr val="66C2A5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ea typeface="+mn-ea"/>
                          <a:cs typeface="Arial" panose="020B0604020202020204" pitchFamily="34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'PN Word Boundaries'!$E$1:$H$1</c15:sqref>
                        </c15:fullRef>
                        <c15:formulaRef>
                          <c15:sqref>'PN Word Boundaries'!$F$1:$H$1</c15:sqref>
                        </c15:formulaRef>
                      </c:ext>
                    </c:extLst>
                    <c:strCache>
                      <c:ptCount val="3"/>
                      <c:pt idx="0">
                        <c:v>L*H</c:v>
                      </c:pt>
                      <c:pt idx="1">
                        <c:v>&gt;H*</c:v>
                      </c:pt>
                      <c:pt idx="2">
                        <c:v>H*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'PN Word Boundaries'!$E$7:$H$7</c15:sqref>
                        </c15:fullRef>
                        <c15:formulaRef>
                          <c15:sqref>'PN Word Boundaries'!$F$7:$H$7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51</c:v>
                      </c:pt>
                      <c:pt idx="1">
                        <c:v>1</c:v>
                      </c:pt>
                      <c:pt idx="2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688-4847-BEB1-DE5B257B3296}"/>
                  </c:ext>
                </c:extLst>
              </c15:ser>
            </c15:filteredBarSeries>
          </c:ext>
        </c:extLst>
      </c:barChart>
      <c:catAx>
        <c:axId val="188930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284847"/>
        <c:crosses val="autoZero"/>
        <c:auto val="1"/>
        <c:lblAlgn val="ctr"/>
        <c:lblOffset val="100"/>
        <c:noMultiLvlLbl val="0"/>
      </c:catAx>
      <c:valAx>
        <c:axId val="18892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8930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847922134733156"/>
          <c:y val="0.18287037037037041"/>
          <c:w val="0.20207633420822393"/>
          <c:h val="0.3159857101195683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Alignment of L and H re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foot'!$B$16:$B$19</c:f>
              <c:numCache>
                <c:formatCode>0</c:formatCode>
                <c:ptCount val="4"/>
                <c:pt idx="0">
                  <c:v>282.10899999999998</c:v>
                </c:pt>
                <c:pt idx="1">
                  <c:v>303.60500000000002</c:v>
                </c:pt>
                <c:pt idx="2">
                  <c:v>379.00099999999998</c:v>
                </c:pt>
                <c:pt idx="3">
                  <c:v>513.71699999999998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4-4B84-BFF5-EB77CBB69A47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plus>
            <c:minus>
              <c:numRef>
                <c:f>'nuc foot'!$F$16:$F$19</c:f>
                <c:numCache>
                  <c:formatCode>General</c:formatCode>
                  <c:ptCount val="4"/>
                  <c:pt idx="0">
                    <c:v>44.637293846833984</c:v>
                  </c:pt>
                  <c:pt idx="1">
                    <c:v>74.158085736960032</c:v>
                  </c:pt>
                  <c:pt idx="2">
                    <c:v>44.635238618004962</c:v>
                  </c:pt>
                  <c:pt idx="3">
                    <c:v>74.215505111882976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/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foot'!$I$16:$I$19</c:f>
              <c:numCache>
                <c:formatCode>0</c:formatCode>
                <c:ptCount val="4"/>
                <c:pt idx="0">
                  <c:v>236.43199999999999</c:v>
                </c:pt>
                <c:pt idx="1">
                  <c:v>257.928</c:v>
                </c:pt>
                <c:pt idx="2">
                  <c:v>333.32399999999996</c:v>
                </c:pt>
                <c:pt idx="3">
                  <c:v>468.03999999999996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4-4B84-BFF5-EB77CBB69A47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foot'!$B$3:$B$6</c:f>
              <c:numCache>
                <c:formatCode>0</c:formatCode>
                <c:ptCount val="4"/>
                <c:pt idx="0">
                  <c:v>104.017</c:v>
                </c:pt>
                <c:pt idx="1">
                  <c:v>106.155</c:v>
                </c:pt>
                <c:pt idx="2">
                  <c:v>107.041</c:v>
                </c:pt>
                <c:pt idx="3">
                  <c:v>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4-4B84-BFF5-EB77CBB69A47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chemeClr val="tx1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plus>
            <c:minus>
              <c:numRef>
                <c:f>'nuc foot'!$F$3:$F$6</c:f>
                <c:numCache>
                  <c:formatCode>General</c:formatCode>
                  <c:ptCount val="4"/>
                  <c:pt idx="0">
                    <c:v>44.264516550189796</c:v>
                  </c:pt>
                  <c:pt idx="1">
                    <c:v>76.787342461662803</c:v>
                  </c:pt>
                  <c:pt idx="2">
                    <c:v>44.264838944087394</c:v>
                  </c:pt>
                  <c:pt idx="3">
                    <c:v>84.913205087000492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foot'!$I$3:$I$6</c:f>
              <c:numCache>
                <c:formatCode>0</c:formatCode>
                <c:ptCount val="4"/>
                <c:pt idx="0">
                  <c:v>106.976</c:v>
                </c:pt>
                <c:pt idx="1">
                  <c:v>109.114</c:v>
                </c:pt>
                <c:pt idx="2">
                  <c:v>110</c:v>
                </c:pt>
                <c:pt idx="3">
                  <c:v>92.448999999999998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4-4B84-BFF5-EB77CBB6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in val="0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/>
                  <a:t>time from vowel onset (ms)</a:t>
                </a:r>
              </a:p>
            </c:rich>
          </c:tx>
          <c:layout>
            <c:manualLayout>
              <c:xMode val="edge"/>
              <c:yMode val="edge"/>
              <c:x val="0.18697222222222223"/>
              <c:y val="0.177893611111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75931391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Alignment of % and L% re foot syls</a:t>
            </a:r>
            <a:endParaRPr lang="en-IE" sz="10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prstDash val="solid"/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foot'!$B$29:$B$32</c:f>
              <c:numCache>
                <c:formatCode>0</c:formatCode>
                <c:ptCount val="4"/>
                <c:pt idx="0">
                  <c:v>313.32600000000002</c:v>
                </c:pt>
                <c:pt idx="1">
                  <c:v>324.00099999999998</c:v>
                </c:pt>
                <c:pt idx="2">
                  <c:v>430.53899999999999</c:v>
                </c:pt>
                <c:pt idx="3">
                  <c:v>572.20000000000005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2-4D6C-B23A-05722858752F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plus>
            <c:minus>
              <c:numRef>
                <c:f>'nuc foot'!$F$29:$F$32</c:f>
                <c:numCache>
                  <c:formatCode>General</c:formatCode>
                  <c:ptCount val="4"/>
                  <c:pt idx="0">
                    <c:v>55.785446310486009</c:v>
                  </c:pt>
                  <c:pt idx="1">
                    <c:v>95.082735593236976</c:v>
                  </c:pt>
                  <c:pt idx="2">
                    <c:v>55.784018160061009</c:v>
                  </c:pt>
                  <c:pt idx="3">
                    <c:v>105.10311000253506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foot'!$I$29:$I$32</c:f>
              <c:numCache>
                <c:formatCode>0</c:formatCode>
                <c:ptCount val="4"/>
                <c:pt idx="0">
                  <c:v>265.51700000000005</c:v>
                </c:pt>
                <c:pt idx="1">
                  <c:v>276.19200000000001</c:v>
                </c:pt>
                <c:pt idx="2">
                  <c:v>382.73</c:v>
                </c:pt>
                <c:pt idx="3">
                  <c:v>524.39100000000008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2-4D6C-B23A-05722858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from vowel onset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L and H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'nuc foot'!$AC$20</c:f>
              <c:strCache>
                <c:ptCount val="1"/>
                <c:pt idx="0">
                  <c:v>H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foot'!$B$22:$B$25</c:f>
              <c:numCache>
                <c:formatCode>0.0</c:formatCode>
                <c:ptCount val="4"/>
                <c:pt idx="0">
                  <c:v>87.203000000000003</c:v>
                </c:pt>
                <c:pt idx="1">
                  <c:v>88.043000000000006</c:v>
                </c:pt>
                <c:pt idx="2">
                  <c:v>89.504999999999995</c:v>
                </c:pt>
                <c:pt idx="3">
                  <c:v>88.771000000000001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91F-8BA6-255D8D322441}"/>
            </c:ext>
          </c:extLst>
        </c:ser>
        <c:ser>
          <c:idx val="2"/>
          <c:order val="1"/>
          <c:tx>
            <c:strRef>
              <c:f>'nuc foot'!$AC$18</c:f>
              <c:strCache>
                <c:ptCount val="1"/>
                <c:pt idx="0">
                  <c:v>H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plus>
            <c:minus>
              <c:numRef>
                <c:f>'nuc foot'!$F$22:$F$25</c:f>
                <c:numCache>
                  <c:formatCode>General</c:formatCode>
                  <c:ptCount val="4"/>
                  <c:pt idx="0">
                    <c:v>3.3097762501035959</c:v>
                  </c:pt>
                  <c:pt idx="1">
                    <c:v>3.8716880087210086</c:v>
                  </c:pt>
                  <c:pt idx="2">
                    <c:v>3.3095485851766</c:v>
                  </c:pt>
                  <c:pt idx="3">
                    <c:v>3.8714666169589975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foot'!$I$22:$I$25</c:f>
              <c:numCache>
                <c:formatCode>0.0</c:formatCode>
                <c:ptCount val="4"/>
                <c:pt idx="0">
                  <c:v>86.55</c:v>
                </c:pt>
                <c:pt idx="1">
                  <c:v>87.39</c:v>
                </c:pt>
                <c:pt idx="2">
                  <c:v>88.85199999999999</c:v>
                </c:pt>
                <c:pt idx="3">
                  <c:v>88.117999999999995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91F-8BA6-255D8D322441}"/>
            </c:ext>
          </c:extLst>
        </c:ser>
        <c:ser>
          <c:idx val="4"/>
          <c:order val="2"/>
          <c:tx>
            <c:strRef>
              <c:f>'nuc foot'!$AC$21</c:f>
              <c:strCache>
                <c:ptCount val="1"/>
                <c:pt idx="0">
                  <c:v>L in L*H %</c:v>
                </c:pt>
              </c:strCache>
            </c:strRef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foot'!$B$9:$B$12</c:f>
              <c:numCache>
                <c:formatCode>0.0</c:formatCode>
                <c:ptCount val="4"/>
                <c:pt idx="0">
                  <c:v>83.015000000000001</c:v>
                </c:pt>
                <c:pt idx="1">
                  <c:v>83.525000000000006</c:v>
                </c:pt>
                <c:pt idx="2">
                  <c:v>83.48</c:v>
                </c:pt>
                <c:pt idx="3">
                  <c:v>83.888000000000005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91F-8BA6-255D8D322441}"/>
            </c:ext>
          </c:extLst>
        </c:ser>
        <c:ser>
          <c:idx val="0"/>
          <c:order val="3"/>
          <c:tx>
            <c:strRef>
              <c:f>'nuc foot'!$AC$19</c:f>
              <c:strCache>
                <c:ptCount val="1"/>
                <c:pt idx="0">
                  <c:v>L in L*H L%</c:v>
                </c:pt>
              </c:strCache>
            </c:strRef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plus>
            <c:minus>
              <c:numRef>
                <c:f>'nuc foot'!$F$9:$F$12</c:f>
                <c:numCache>
                  <c:formatCode>General</c:formatCode>
                  <c:ptCount val="4"/>
                  <c:pt idx="0">
                    <c:v>3.251177415968499</c:v>
                  </c:pt>
                  <c:pt idx="1">
                    <c:v>3.2808908867949071</c:v>
                  </c:pt>
                  <c:pt idx="2">
                    <c:v>3.2517728481197992</c:v>
                  </c:pt>
                  <c:pt idx="3">
                    <c:v>3.2931308732152047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foot'!$I$9:$I$12</c:f>
              <c:numCache>
                <c:formatCode>0.0</c:formatCode>
                <c:ptCount val="4"/>
                <c:pt idx="0">
                  <c:v>82.984999999999999</c:v>
                </c:pt>
                <c:pt idx="1">
                  <c:v>83.495000000000005</c:v>
                </c:pt>
                <c:pt idx="2">
                  <c:v>83.45</c:v>
                </c:pt>
                <c:pt idx="3">
                  <c:v>83.858000000000004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0-491F-8BA6-255D8D322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f0 </a:t>
            </a:r>
            <a:r>
              <a:rPr lang="en-US"/>
              <a:t>of</a:t>
            </a:r>
            <a:r>
              <a:rPr lang="en-US" baseline="0"/>
              <a:t> % and % </a:t>
            </a:r>
            <a:r>
              <a:rPr lang="en-US"/>
              <a:t>re</a:t>
            </a:r>
            <a:r>
              <a:rPr lang="en-US" sz="1100"/>
              <a:t> foot syls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%</c:v>
          </c:tx>
          <c:spPr>
            <a:ln w="12700" cap="rnd">
              <a:solidFill>
                <a:srgbClr val="D95F02">
                  <a:alpha val="80000"/>
                </a:srgb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D95F02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80000"/>
                  </a:srgbClr>
                </a:solidFill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foot'!$B$35:$B$38</c:f>
              <c:numCache>
                <c:formatCode>0.0</c:formatCode>
                <c:ptCount val="4"/>
                <c:pt idx="0">
                  <c:v>86.602000000000004</c:v>
                </c:pt>
                <c:pt idx="1">
                  <c:v>87.965000000000003</c:v>
                </c:pt>
                <c:pt idx="2">
                  <c:v>88.271000000000001</c:v>
                </c:pt>
                <c:pt idx="3">
                  <c:v>87.86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4-4476-92DB-01F3CBEBC658}"/>
            </c:ext>
          </c:extLst>
        </c:ser>
        <c:ser>
          <c:idx val="0"/>
          <c:order val="1"/>
          <c:tx>
            <c:v>L%</c:v>
          </c:tx>
          <c:spPr>
            <a:ln w="12700" cap="rnd">
              <a:solidFill>
                <a:srgbClr val="47298A">
                  <a:alpha val="80000"/>
                </a:srgbClr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pattFill prst="pct60">
                <a:fgClr>
                  <a:srgbClr val="47298A"/>
                </a:fgClr>
                <a:bgClr>
                  <a:schemeClr val="bg1"/>
                </a:bgClr>
              </a:pattFill>
              <a:ln w="12700">
                <a:solidFill>
                  <a:srgbClr val="47298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plus>
            <c:minus>
              <c:numRef>
                <c:f>'nuc foot'!$F$35:$F$38</c:f>
                <c:numCache>
                  <c:formatCode>General</c:formatCode>
                  <c:ptCount val="4"/>
                  <c:pt idx="0">
                    <c:v>3.444142255681399</c:v>
                  </c:pt>
                  <c:pt idx="1">
                    <c:v>3.6803709932165987</c:v>
                  </c:pt>
                  <c:pt idx="2">
                    <c:v>3.4446183506902059</c:v>
                  </c:pt>
                  <c:pt idx="3">
                    <c:v>3.6802940007263061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47298A">
                    <a:alpha val="80000"/>
                  </a:srgbClr>
                </a:solidFill>
                <a:prstDash val="solid"/>
                <a:round/>
              </a:ln>
              <a:effectLst/>
            </c:spPr>
          </c:errBars>
          <c:cat>
            <c:strRef>
              <c:f>'nuc foot'!$A$3:$A$6</c:f>
              <c:strCache>
                <c:ptCount val="4"/>
                <c:pt idx="0">
                  <c:v>syls1</c:v>
                </c:pt>
                <c:pt idx="1">
                  <c:v>syls2</c:v>
                </c:pt>
                <c:pt idx="2">
                  <c:v>syls3</c:v>
                </c:pt>
                <c:pt idx="3">
                  <c:v>syls4</c:v>
                </c:pt>
              </c:strCache>
            </c:strRef>
          </c:cat>
          <c:val>
            <c:numRef>
              <c:f>'nuc foot'!$I$35:$I$38</c:f>
              <c:numCache>
                <c:formatCode>0.0</c:formatCode>
                <c:ptCount val="4"/>
                <c:pt idx="0">
                  <c:v>81.00800000000001</c:v>
                </c:pt>
                <c:pt idx="1">
                  <c:v>82.371000000000009</c:v>
                </c:pt>
                <c:pt idx="2">
                  <c:v>82.677000000000007</c:v>
                </c:pt>
                <c:pt idx="3">
                  <c:v>82.266000000000005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4-4476-92DB-01F3CBEBC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931391"/>
        <c:axId val="1583977055"/>
      </c:lineChart>
      <c:catAx>
        <c:axId val="12759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77055"/>
        <c:crosses val="autoZero"/>
        <c:auto val="1"/>
        <c:lblAlgn val="ctr"/>
        <c:lblOffset val="100"/>
        <c:noMultiLvlLbl val="0"/>
      </c:catAx>
      <c:valAx>
        <c:axId val="1583977055"/>
        <c:scaling>
          <c:orientation val="minMax"/>
          <c:max val="94"/>
          <c:min val="76"/>
        </c:scaling>
        <c:delete val="0"/>
        <c:axPos val="l"/>
        <c:majorGridlines>
          <c:spPr>
            <a:ln w="6350" cap="flat" cmpd="sng" algn="ctr">
              <a:solidFill>
                <a:srgbClr val="D9D9D9"/>
              </a:solidFill>
              <a:prstDash val="solid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  <a:r>
                  <a:rPr lang="en-US" sz="9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  <a:r>
                  <a:rPr lang="en-US" sz="9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75931391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D9D9D9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rgbClr val="D9D9D9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'nuc foot'!$H$3</c:f>
              <c:strCache>
                <c:ptCount val="1"/>
                <c:pt idx="0">
                  <c:v>syls1</c:v>
                </c:pt>
              </c:strCache>
            </c:strRef>
          </c:tx>
          <c:spPr>
            <a:ln w="25400">
              <a:solidFill>
                <a:srgbClr val="1B9E77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1B9E77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foot'!$I$3,'nuc foot'!$I$16,'nuc foot'!$I$29)</c:f>
              <c:numCache>
                <c:formatCode>0</c:formatCode>
                <c:ptCount val="3"/>
                <c:pt idx="0">
                  <c:v>106.976</c:v>
                </c:pt>
                <c:pt idx="1">
                  <c:v>236.43199999999999</c:v>
                </c:pt>
                <c:pt idx="2">
                  <c:v>265.51700000000005</c:v>
                </c:pt>
              </c:numCache>
            </c:numRef>
          </c:xVal>
          <c:yVal>
            <c:numRef>
              <c:f>('nuc foot'!$I$9,'nuc foot'!$I$22,'nuc foot'!$I$35)</c:f>
              <c:numCache>
                <c:formatCode>0.0</c:formatCode>
                <c:ptCount val="3"/>
                <c:pt idx="0">
                  <c:v>82.984999999999999</c:v>
                </c:pt>
                <c:pt idx="1">
                  <c:v>86.55</c:v>
                </c:pt>
                <c:pt idx="2">
                  <c:v>81.00800000000001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D-4951-B4B0-BD03A5A81899}"/>
            </c:ext>
          </c:extLst>
        </c:ser>
        <c:ser>
          <c:idx val="5"/>
          <c:order val="1"/>
          <c:tx>
            <c:strRef>
              <c:f>'nuc foot'!$H$4</c:f>
              <c:strCache>
                <c:ptCount val="1"/>
                <c:pt idx="0">
                  <c:v>syls2</c:v>
                </c:pt>
              </c:strCache>
            </c:strRef>
          </c:tx>
          <c:spPr>
            <a:ln w="25400">
              <a:solidFill>
                <a:srgbClr val="D95F02"/>
              </a:solidFill>
              <a:prstDash val="sysDot"/>
            </a:ln>
          </c:spPr>
          <c:marker>
            <c:symbol val="diamond"/>
            <c:size val="7"/>
            <c:spPr>
              <a:solidFill>
                <a:srgbClr val="D95F0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foot'!$I$4,'nuc foot'!$I$17,'nuc foot'!$I$30)</c:f>
              <c:numCache>
                <c:formatCode>0</c:formatCode>
                <c:ptCount val="3"/>
                <c:pt idx="0">
                  <c:v>109.114</c:v>
                </c:pt>
                <c:pt idx="1">
                  <c:v>257.928</c:v>
                </c:pt>
                <c:pt idx="2">
                  <c:v>276.19200000000001</c:v>
                </c:pt>
              </c:numCache>
            </c:numRef>
          </c:xVal>
          <c:yVal>
            <c:numRef>
              <c:f>('nuc foot'!$I$10,'nuc foot'!$I$23,'nuc foot'!$I$36)</c:f>
              <c:numCache>
                <c:formatCode>0.0</c:formatCode>
                <c:ptCount val="3"/>
                <c:pt idx="0">
                  <c:v>83.495000000000005</c:v>
                </c:pt>
                <c:pt idx="1">
                  <c:v>87.39</c:v>
                </c:pt>
                <c:pt idx="2">
                  <c:v>82.371000000000009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D-4951-B4B0-BD03A5A81899}"/>
            </c:ext>
          </c:extLst>
        </c:ser>
        <c:ser>
          <c:idx val="6"/>
          <c:order val="2"/>
          <c:tx>
            <c:strRef>
              <c:f>'nuc foot'!$H$5</c:f>
              <c:strCache>
                <c:ptCount val="1"/>
                <c:pt idx="0">
                  <c:v>syls3</c:v>
                </c:pt>
              </c:strCache>
            </c:strRef>
          </c:tx>
          <c:spPr>
            <a:ln w="25400">
              <a:solidFill>
                <a:srgbClr val="47298A"/>
              </a:solidFill>
              <a:prstDash val="sysDot"/>
            </a:ln>
          </c:spPr>
          <c:marker>
            <c:symbol val="triangle"/>
            <c:size val="7"/>
            <c:spPr>
              <a:solidFill>
                <a:srgbClr val="4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foot'!$I$5,'nuc foot'!$I$18,'nuc foot'!$I$31)</c:f>
              <c:numCache>
                <c:formatCode>0</c:formatCode>
                <c:ptCount val="3"/>
                <c:pt idx="0">
                  <c:v>110</c:v>
                </c:pt>
                <c:pt idx="1">
                  <c:v>333.32399999999996</c:v>
                </c:pt>
                <c:pt idx="2">
                  <c:v>382.73</c:v>
                </c:pt>
              </c:numCache>
            </c:numRef>
          </c:xVal>
          <c:yVal>
            <c:numRef>
              <c:f>('nuc foot'!$I$11,'nuc foot'!$I$24,'nuc foot'!$I$37)</c:f>
              <c:numCache>
                <c:formatCode>0.0</c:formatCode>
                <c:ptCount val="3"/>
                <c:pt idx="0">
                  <c:v>83.45</c:v>
                </c:pt>
                <c:pt idx="1">
                  <c:v>88.85199999999999</c:v>
                </c:pt>
                <c:pt idx="2">
                  <c:v>82.677000000000007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D-4951-B4B0-BD03A5A81899}"/>
            </c:ext>
          </c:extLst>
        </c:ser>
        <c:ser>
          <c:idx val="7"/>
          <c:order val="3"/>
          <c:tx>
            <c:strRef>
              <c:f>'nuc foot'!$H$6</c:f>
              <c:strCache>
                <c:ptCount val="1"/>
                <c:pt idx="0">
                  <c:v>syls4</c:v>
                </c:pt>
              </c:strCache>
            </c:strRef>
          </c:tx>
          <c:spPr>
            <a:ln w="25400">
              <a:solidFill>
                <a:srgbClr val="E7298A"/>
              </a:solidFill>
              <a:prstDash val="sysDot"/>
            </a:ln>
          </c:spPr>
          <c:marker>
            <c:symbol val="square"/>
            <c:size val="6"/>
            <c:spPr>
              <a:solidFill>
                <a:srgbClr val="E7298A"/>
              </a:solidFill>
              <a:ln>
                <a:noFill/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foot'!$I$6,'nuc foot'!$I$19,'nuc foot'!$I$32)</c:f>
              <c:numCache>
                <c:formatCode>0</c:formatCode>
                <c:ptCount val="3"/>
                <c:pt idx="0">
                  <c:v>92.448999999999998</c:v>
                </c:pt>
                <c:pt idx="1">
                  <c:v>468.03999999999996</c:v>
                </c:pt>
                <c:pt idx="2">
                  <c:v>524.39100000000008</c:v>
                </c:pt>
              </c:numCache>
            </c:numRef>
          </c:xVal>
          <c:yVal>
            <c:numRef>
              <c:f>('nuc foot'!$I$12,'nuc foot'!$I$25,'nuc foot'!$I$38)</c:f>
              <c:numCache>
                <c:formatCode>0.0</c:formatCode>
                <c:ptCount val="3"/>
                <c:pt idx="0">
                  <c:v>83.858000000000004</c:v>
                </c:pt>
                <c:pt idx="1">
                  <c:v>88.117999999999995</c:v>
                </c:pt>
                <c:pt idx="2">
                  <c:v>82.266000000000005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D-4951-B4B0-BD03A5A81899}"/>
            </c:ext>
          </c:extLst>
        </c:ser>
        <c:ser>
          <c:idx val="1"/>
          <c:order val="4"/>
          <c:tx>
            <c:strRef>
              <c:f>'nuc foot'!$A$3</c:f>
              <c:strCache>
                <c:ptCount val="1"/>
                <c:pt idx="0">
                  <c:v>syls1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circle"/>
            <c:size val="6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plus>
            <c:minus>
              <c:numRef>
                <c:f>('nuc foot'!$F$3,'nuc foot'!$F$16,'nuc foot'!$F$29)</c:f>
                <c:numCache>
                  <c:formatCode>General</c:formatCode>
                  <c:ptCount val="3"/>
                  <c:pt idx="0">
                    <c:v>44.264516550189796</c:v>
                  </c:pt>
                  <c:pt idx="1">
                    <c:v>44.637293846833984</c:v>
                  </c:pt>
                  <c:pt idx="2">
                    <c:v>55.785446310486009</c:v>
                  </c:pt>
                </c:numCache>
              </c:numRef>
            </c:minus>
            <c:spPr>
              <a:ln>
                <a:solidFill>
                  <a:srgbClr val="1B9E77">
                    <a:alpha val="50000"/>
                  </a:srgb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plus>
            <c:minus>
              <c:numRef>
                <c:f>('nuc foot'!$F$9,'nuc foot'!$F$22,'nuc foot'!$F$35)</c:f>
                <c:numCache>
                  <c:formatCode>General</c:formatCode>
                  <c:ptCount val="3"/>
                  <c:pt idx="0">
                    <c:v>3.251177415968499</c:v>
                  </c:pt>
                  <c:pt idx="1">
                    <c:v>3.3097762501035959</c:v>
                  </c:pt>
                  <c:pt idx="2">
                    <c:v>3.444142255681399</c:v>
                  </c:pt>
                </c:numCache>
              </c:numRef>
            </c:minus>
            <c:spPr>
              <a:ln>
                <a:solidFill>
                  <a:srgbClr val="1B9E77">
                    <a:alpha val="49804"/>
                  </a:srgbClr>
                </a:solidFill>
              </a:ln>
            </c:spPr>
          </c:errBars>
          <c:xVal>
            <c:numRef>
              <c:f>('nuc foot'!$B$3,'nuc foot'!$B$16,'nuc foot'!$B$29)</c:f>
              <c:numCache>
                <c:formatCode>0</c:formatCode>
                <c:ptCount val="3"/>
                <c:pt idx="0">
                  <c:v>104.017</c:v>
                </c:pt>
                <c:pt idx="1">
                  <c:v>282.10899999999998</c:v>
                </c:pt>
                <c:pt idx="2">
                  <c:v>313.32600000000002</c:v>
                </c:pt>
              </c:numCache>
            </c:numRef>
          </c:xVal>
          <c:yVal>
            <c:numRef>
              <c:f>('nuc foot'!$B$9,'nuc foot'!$B$22,'nuc foot'!$B$35)</c:f>
              <c:numCache>
                <c:formatCode>0.0</c:formatCode>
                <c:ptCount val="3"/>
                <c:pt idx="0">
                  <c:v>83.015000000000001</c:v>
                </c:pt>
                <c:pt idx="1">
                  <c:v>87.203000000000003</c:v>
                </c:pt>
                <c:pt idx="2">
                  <c:v>86.602000000000004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1D-4951-B4B0-BD03A5A81899}"/>
            </c:ext>
          </c:extLst>
        </c:ser>
        <c:ser>
          <c:idx val="2"/>
          <c:order val="5"/>
          <c:tx>
            <c:strRef>
              <c:f>'nuc foot'!$A$4</c:f>
              <c:strCache>
                <c:ptCount val="1"/>
                <c:pt idx="0">
                  <c:v>syls2</c:v>
                </c:pt>
              </c:strCache>
            </c:strRef>
          </c:tx>
          <c:spPr>
            <a:ln w="19050" cap="rnd">
              <a:solidFill>
                <a:srgbClr val="D95F0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foot'!$F$10,'nuc foot'!$F$23,'nuc foot'!$F$37)</c:f>
                <c:numCache>
                  <c:formatCode>General</c:formatCode>
                  <c:ptCount val="3"/>
                  <c:pt idx="0">
                    <c:v>3.2808908867949071</c:v>
                  </c:pt>
                  <c:pt idx="1">
                    <c:v>3.8716880087210086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plus>
            <c:minus>
              <c:numRef>
                <c:f>('nuc foot'!$F$4,'nuc foot'!$F$17,'nuc foot'!$F$30)</c:f>
                <c:numCache>
                  <c:formatCode>General</c:formatCode>
                  <c:ptCount val="3"/>
                  <c:pt idx="0">
                    <c:v>76.787342461662803</c:v>
                  </c:pt>
                  <c:pt idx="1">
                    <c:v>74.158085736960032</c:v>
                  </c:pt>
                  <c:pt idx="2">
                    <c:v>95.082735593236976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D95F02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foot'!$B$4,'nuc foot'!$B$17,'nuc foot'!$B$30)</c:f>
              <c:numCache>
                <c:formatCode>0</c:formatCode>
                <c:ptCount val="3"/>
                <c:pt idx="0">
                  <c:v>106.155</c:v>
                </c:pt>
                <c:pt idx="1">
                  <c:v>303.60500000000002</c:v>
                </c:pt>
                <c:pt idx="2">
                  <c:v>324.00099999999998</c:v>
                </c:pt>
              </c:numCache>
            </c:numRef>
          </c:xVal>
          <c:yVal>
            <c:numRef>
              <c:f>('nuc foot'!$B$10,'nuc foot'!$B$23,'nuc foot'!$B$36)</c:f>
              <c:numCache>
                <c:formatCode>0.0</c:formatCode>
                <c:ptCount val="3"/>
                <c:pt idx="0">
                  <c:v>83.525000000000006</c:v>
                </c:pt>
                <c:pt idx="1">
                  <c:v>88.043000000000006</c:v>
                </c:pt>
                <c:pt idx="2">
                  <c:v>87.965000000000003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1D-4951-B4B0-BD03A5A81899}"/>
            </c:ext>
          </c:extLst>
        </c:ser>
        <c:ser>
          <c:idx val="3"/>
          <c:order val="6"/>
          <c:tx>
            <c:strRef>
              <c:f>'nuc foot'!$A$5</c:f>
              <c:strCache>
                <c:ptCount val="1"/>
                <c:pt idx="0">
                  <c:v>syls3</c:v>
                </c:pt>
              </c:strCache>
            </c:strRef>
          </c:tx>
          <c:spPr>
            <a:ln w="19050" cap="rnd">
              <a:solidFill>
                <a:srgbClr val="47298A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4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plus>
            <c:minus>
              <c:numRef>
                <c:f>('nuc foot'!$F$5,'nuc foot'!$F$18,'nuc foot'!$F$31)</c:f>
                <c:numCache>
                  <c:formatCode>General</c:formatCode>
                  <c:ptCount val="3"/>
                  <c:pt idx="0">
                    <c:v>44.264838944087394</c:v>
                  </c:pt>
                  <c:pt idx="1">
                    <c:v>44.635238618004962</c:v>
                  </c:pt>
                  <c:pt idx="2">
                    <c:v>55.784018160061009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plus>
            <c:minus>
              <c:numRef>
                <c:f>('nuc foot'!$F$11,'nuc foot'!$F$24,'nuc foot'!$F$37)</c:f>
                <c:numCache>
                  <c:formatCode>General</c:formatCode>
                  <c:ptCount val="3"/>
                  <c:pt idx="0">
                    <c:v>3.2517728481197992</c:v>
                  </c:pt>
                  <c:pt idx="1">
                    <c:v>3.3095485851766</c:v>
                  </c:pt>
                  <c:pt idx="2">
                    <c:v>3.4446183506902059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4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foot'!$B$5,'nuc foot'!$B$18,'nuc foot'!$B$31)</c:f>
              <c:numCache>
                <c:formatCode>0</c:formatCode>
                <c:ptCount val="3"/>
                <c:pt idx="0">
                  <c:v>107.041</c:v>
                </c:pt>
                <c:pt idx="1">
                  <c:v>379.00099999999998</c:v>
                </c:pt>
                <c:pt idx="2">
                  <c:v>430.53899999999999</c:v>
                </c:pt>
              </c:numCache>
            </c:numRef>
          </c:xVal>
          <c:yVal>
            <c:numRef>
              <c:f>('nuc foot'!$B$11,'nuc foot'!$B$24,'nuc foot'!$B$37)</c:f>
              <c:numCache>
                <c:formatCode>0.0</c:formatCode>
                <c:ptCount val="3"/>
                <c:pt idx="0">
                  <c:v>83.48</c:v>
                </c:pt>
                <c:pt idx="1">
                  <c:v>89.504999999999995</c:v>
                </c:pt>
                <c:pt idx="2">
                  <c:v>88.271000000000001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1D-4951-B4B0-BD03A5A81899}"/>
            </c:ext>
          </c:extLst>
        </c:ser>
        <c:ser>
          <c:idx val="0"/>
          <c:order val="7"/>
          <c:tx>
            <c:strRef>
              <c:f>'nuc foot'!$A$6</c:f>
              <c:strCache>
                <c:ptCount val="1"/>
                <c:pt idx="0">
                  <c:v>syls4</c:v>
                </c:pt>
              </c:strCache>
            </c:strRef>
          </c:tx>
          <c:spPr>
            <a:ln w="19050" cap="rnd">
              <a:solidFill>
                <a:srgbClr val="E7298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plus>
            <c:minus>
              <c:numRef>
                <c:f>('nuc foot'!$F$6,'nuc foot'!$F$19,'nuc foot'!$F$32)</c:f>
                <c:numCache>
                  <c:formatCode>General</c:formatCode>
                  <c:ptCount val="3"/>
                  <c:pt idx="0">
                    <c:v>84.913205087000492</c:v>
                  </c:pt>
                  <c:pt idx="1">
                    <c:v>74.215505111882976</c:v>
                  </c:pt>
                  <c:pt idx="2">
                    <c:v>105.10311000253506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plus>
            <c:minus>
              <c:numRef>
                <c:f>('nuc foot'!$F$12,'nuc foot'!$F$25,'nuc foot'!$F$38)</c:f>
                <c:numCache>
                  <c:formatCode>General</c:formatCode>
                  <c:ptCount val="3"/>
                  <c:pt idx="0">
                    <c:v>3.2931308732152047</c:v>
                  </c:pt>
                  <c:pt idx="1">
                    <c:v>3.8714666169589975</c:v>
                  </c:pt>
                  <c:pt idx="2">
                    <c:v>3.6802940007263061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7298A">
                    <a:alpha val="20000"/>
                  </a:srgbClr>
                </a:solidFill>
                <a:round/>
              </a:ln>
              <a:effectLst/>
            </c:spPr>
          </c:errBars>
          <c:xVal>
            <c:numRef>
              <c:f>('nuc foot'!$B$6,'nuc foot'!$B$19,'nuc foot'!$B$32)</c:f>
              <c:numCache>
                <c:formatCode>0</c:formatCode>
                <c:ptCount val="3"/>
                <c:pt idx="0">
                  <c:v>89.49</c:v>
                </c:pt>
                <c:pt idx="1">
                  <c:v>513.71699999999998</c:v>
                </c:pt>
                <c:pt idx="2">
                  <c:v>572.20000000000005</c:v>
                </c:pt>
              </c:numCache>
            </c:numRef>
          </c:xVal>
          <c:yVal>
            <c:numRef>
              <c:f>('nuc foot'!$B$12,'nuc foot'!$B$25,'nuc foot'!$B$38)</c:f>
              <c:numCache>
                <c:formatCode>0.0</c:formatCode>
                <c:ptCount val="3"/>
                <c:pt idx="0">
                  <c:v>83.888000000000005</c:v>
                </c:pt>
                <c:pt idx="1">
                  <c:v>88.771000000000001</c:v>
                </c:pt>
                <c:pt idx="2">
                  <c:v>87.86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1D-4951-B4B0-BD03A5A81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88352"/>
        <c:axId val="501389184"/>
      </c:scatterChart>
      <c:valAx>
        <c:axId val="501388352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9184"/>
        <c:crosses val="autoZero"/>
        <c:crossBetween val="midCat"/>
        <c:majorUnit val="200"/>
      </c:valAx>
      <c:valAx>
        <c:axId val="501389184"/>
        <c:scaling>
          <c:orientation val="minMax"/>
          <c:max val="94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i="1">
                    <a:solidFill>
                      <a:sysClr val="windowText" lastClr="000000"/>
                    </a:solidFill>
                  </a:rPr>
                  <a:t>f</a:t>
                </a:r>
                <a:r>
                  <a:rPr lang="en-US" sz="900" i="1" baseline="-25000">
                    <a:solidFill>
                      <a:sysClr val="windowText" lastClr="000000"/>
                    </a:solidFill>
                  </a:rPr>
                  <a:t>0</a:t>
                </a:r>
                <a:r>
                  <a:rPr lang="en-US" sz="900" i="1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900" i="0">
                    <a:solidFill>
                      <a:sysClr val="windowText" lastClr="000000"/>
                    </a:solidFill>
                  </a:rPr>
                  <a:t>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1388352"/>
        <c:crosses val="autoZero"/>
        <c:crossBetween val="midCat"/>
        <c:majorUnit val="2"/>
        <c:minorUnit val="0.5"/>
      </c:valAx>
    </c:plotArea>
    <c:legend>
      <c:legendPos val="r"/>
      <c:layout>
        <c:manualLayout>
          <c:xMode val="edge"/>
          <c:yMode val="edge"/>
          <c:x val="0.66392147326696183"/>
          <c:y val="0.53619154228855725"/>
          <c:w val="0.22836369449272462"/>
          <c:h val="0.21721061359867333"/>
        </c:manualLayout>
      </c:layout>
      <c:overlay val="1"/>
      <c:spPr>
        <a:solidFill>
          <a:schemeClr val="bg1"/>
        </a:solidFill>
        <a:ln>
          <a:solidFill>
            <a:schemeClr val="bg2"/>
          </a:solidFill>
        </a:ln>
      </c:sp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74</xdr:row>
      <xdr:rowOff>0</xdr:rowOff>
    </xdr:from>
    <xdr:to>
      <xdr:col>14</xdr:col>
      <xdr:colOff>503037</xdr:colOff>
      <xdr:row>86</xdr:row>
      <xdr:rowOff>126000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56D99C-1001-4E1D-85B0-F762DBB60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3</xdr:col>
      <xdr:colOff>503037</xdr:colOff>
      <xdr:row>86</xdr:row>
      <xdr:rowOff>126000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9F43706-3219-4F83-A1AE-3E3C93CA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74</xdr:row>
      <xdr:rowOff>0</xdr:rowOff>
    </xdr:from>
    <xdr:to>
      <xdr:col>7</xdr:col>
      <xdr:colOff>0</xdr:colOff>
      <xdr:row>86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1F2BA023-56FC-4BC9-AB14-94F3117A9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74</xdr:row>
      <xdr:rowOff>0</xdr:rowOff>
    </xdr:from>
    <xdr:to>
      <xdr:col>10</xdr:col>
      <xdr:colOff>503037</xdr:colOff>
      <xdr:row>86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33EEE418-295C-439D-AC84-2808E1FD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101318</xdr:colOff>
      <xdr:row>15</xdr:row>
      <xdr:rowOff>22500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B224D680-F0DA-442A-BF73-E207F926D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0</xdr:row>
      <xdr:rowOff>0</xdr:rowOff>
    </xdr:from>
    <xdr:to>
      <xdr:col>27</xdr:col>
      <xdr:colOff>99321</xdr:colOff>
      <xdr:row>15</xdr:row>
      <xdr:rowOff>22500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63CF862-0469-4DCA-A672-6F79B5AFE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101318</xdr:colOff>
      <xdr:row>31</xdr:row>
      <xdr:rowOff>22500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EA8E5E9C-07B4-417D-BE70-070D9E46C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</xdr:colOff>
      <xdr:row>16</xdr:row>
      <xdr:rowOff>0</xdr:rowOff>
    </xdr:from>
    <xdr:to>
      <xdr:col>27</xdr:col>
      <xdr:colOff>99322</xdr:colOff>
      <xdr:row>31</xdr:row>
      <xdr:rowOff>22500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BEB3E70-3811-4777-AC91-BF1CE27B7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32</xdr:col>
      <xdr:colOff>209550</xdr:colOff>
      <xdr:row>12</xdr:row>
      <xdr:rowOff>126000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84A34E-6DDF-4796-8788-70AF78181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67DAC-116C-45F1-9ECD-3058081BA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609599</xdr:colOff>
      <xdr:row>15</xdr:row>
      <xdr:rowOff>0</xdr:rowOff>
    </xdr:from>
    <xdr:to>
      <xdr:col>14</xdr:col>
      <xdr:colOff>261599</xdr:colOff>
      <xdr:row>29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EB2085-02D0-4779-BE05-0551CD7E2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0</xdr:rowOff>
    </xdr:from>
    <xdr:to>
      <xdr:col>3</xdr:col>
      <xdr:colOff>503036</xdr:colOff>
      <xdr:row>52</xdr:row>
      <xdr:rowOff>126000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092F63-FCCC-4C38-952B-1A7158353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3</xdr:col>
      <xdr:colOff>503038</xdr:colOff>
      <xdr:row>66</xdr:row>
      <xdr:rowOff>126000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96110FF-1669-4050-A88A-5140043C1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157653</xdr:colOff>
      <xdr:row>52</xdr:row>
      <xdr:rowOff>126000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48657B-88B8-4226-B731-C6B78ABF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7</xdr:col>
      <xdr:colOff>0</xdr:colOff>
      <xdr:row>66</xdr:row>
      <xdr:rowOff>126000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B0E2C-89ED-486B-A796-D83624E4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7</xdr:col>
      <xdr:colOff>0</xdr:colOff>
      <xdr:row>80</xdr:row>
      <xdr:rowOff>126000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F7E715A-8590-4D6A-A613-484CAD378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10</xdr:col>
      <xdr:colOff>503038</xdr:colOff>
      <xdr:row>80</xdr:row>
      <xdr:rowOff>126000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3D1AC62-827F-42D8-87AA-45242C3D9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68</xdr:row>
      <xdr:rowOff>0</xdr:rowOff>
    </xdr:from>
    <xdr:to>
      <xdr:col>14</xdr:col>
      <xdr:colOff>503037</xdr:colOff>
      <xdr:row>80</xdr:row>
      <xdr:rowOff>126000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6D6282-5CC3-49AF-A58C-E49B0899D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82</xdr:row>
      <xdr:rowOff>0</xdr:rowOff>
    </xdr:from>
    <xdr:to>
      <xdr:col>7</xdr:col>
      <xdr:colOff>0</xdr:colOff>
      <xdr:row>94</xdr:row>
      <xdr:rowOff>126000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D1752AB-7213-4887-85C2-EB0BE2EA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10</xdr:col>
      <xdr:colOff>503036</xdr:colOff>
      <xdr:row>94</xdr:row>
      <xdr:rowOff>126000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2680593-CCF8-44AF-865B-A65ABE902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14</xdr:col>
      <xdr:colOff>503037</xdr:colOff>
      <xdr:row>94</xdr:row>
      <xdr:rowOff>126000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C7BCE8B-B357-454D-A508-5DEAEB6F1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496744</xdr:colOff>
      <xdr:row>94</xdr:row>
      <xdr:rowOff>126000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B1B10EF-13CA-438F-90E3-9F5732AD9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0</xdr:row>
      <xdr:rowOff>0</xdr:rowOff>
    </xdr:from>
    <xdr:to>
      <xdr:col>27</xdr:col>
      <xdr:colOff>99320</xdr:colOff>
      <xdr:row>15</xdr:row>
      <xdr:rowOff>22500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1EB6B15-0289-4B2C-B101-61EC5A489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21</xdr:col>
      <xdr:colOff>101319</xdr:colOff>
      <xdr:row>15</xdr:row>
      <xdr:rowOff>22500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AD71DE1-6575-4D91-A25E-64F013072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1997</xdr:colOff>
      <xdr:row>16</xdr:row>
      <xdr:rowOff>8528</xdr:rowOff>
    </xdr:from>
    <xdr:to>
      <xdr:col>27</xdr:col>
      <xdr:colOff>101318</xdr:colOff>
      <xdr:row>31</xdr:row>
      <xdr:rowOff>31028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F313F7C-F7FF-4132-9678-73DD019C2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101319</xdr:colOff>
      <xdr:row>31</xdr:row>
      <xdr:rowOff>22500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DF0C885C-F0C7-42C9-A540-36E08ABC8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11</xdr:col>
      <xdr:colOff>503036</xdr:colOff>
      <xdr:row>65</xdr:row>
      <xdr:rowOff>126000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B688F-539F-4E1F-BF56-C34700F23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261600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D7EE3-9B50-461F-947A-3C889BD25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324263</xdr:colOff>
      <xdr:row>0</xdr:row>
      <xdr:rowOff>0</xdr:rowOff>
    </xdr:from>
    <xdr:to>
      <xdr:col>16</xdr:col>
      <xdr:colOff>356151</xdr:colOff>
      <xdr:row>14</xdr:row>
      <xdr:rowOff>25380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0ECC8-2271-4801-82D9-3F29DF1B3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374E54-7F8A-48BE-BE19-733C45909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A77136-CC8A-4FD5-960F-056C9EC5B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ACA-3CC2-438E-ADD5-9C10FA020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6BD6A53-2052-45AF-B75A-F47319382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39CE8D3-259D-4FCF-905E-11073FC88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A993E01-C652-40F3-8D5D-2D161F54B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261600</xdr:colOff>
      <xdr:row>14</xdr:row>
      <xdr:rowOff>33000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EF212B-BDAF-43B4-B86B-84AF5106E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18</xdr:col>
      <xdr:colOff>98596</xdr:colOff>
      <xdr:row>15</xdr:row>
      <xdr:rowOff>22500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9A3298-D200-4D6D-8DDE-E77742DE1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101318</xdr:colOff>
      <xdr:row>15</xdr:row>
      <xdr:rowOff>22500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6FD63F-FD45-4B10-BC98-6914B42FE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370149</xdr:colOff>
      <xdr:row>0</xdr:row>
      <xdr:rowOff>0</xdr:rowOff>
    </xdr:from>
    <xdr:to>
      <xdr:col>16</xdr:col>
      <xdr:colOff>409657</xdr:colOff>
      <xdr:row>14</xdr:row>
      <xdr:rowOff>21570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378BB-19B6-42FE-96E7-650D87434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279530</xdr:colOff>
      <xdr:row>14</xdr:row>
      <xdr:rowOff>33000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BC717-3108-46D9-BC46-811C9CEC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261600</xdr:colOff>
      <xdr:row>26</xdr:row>
      <xdr:rowOff>64500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105469-C156-4D03-AA81-46BF9A0DA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16</xdr:col>
      <xdr:colOff>261600</xdr:colOff>
      <xdr:row>26</xdr:row>
      <xdr:rowOff>64500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D6E8C5-90D1-4CC9-BB7E-8B73651F5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11</xdr:col>
      <xdr:colOff>259695</xdr:colOff>
      <xdr:row>38</xdr:row>
      <xdr:rowOff>60690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26157D-B811-412E-AE86-41B43ABB1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16</xdr:col>
      <xdr:colOff>259695</xdr:colOff>
      <xdr:row>38</xdr:row>
      <xdr:rowOff>60690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DF2269-7675-4FC1-B27A-1184DB499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99391</xdr:colOff>
      <xdr:row>8</xdr:row>
      <xdr:rowOff>177248</xdr:rowOff>
    </xdr:from>
    <xdr:to>
      <xdr:col>6</xdr:col>
      <xdr:colOff>115956</xdr:colOff>
      <xdr:row>23</xdr:row>
      <xdr:rowOff>62948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F0D7-EA02-4198-8C1C-C99EAB1C9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6</xdr:col>
      <xdr:colOff>16565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24725-5A9A-490D-B4DA-A010C35A8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0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f0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f0_exc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h_slope_b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t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_f0_b0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h_f0_b0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f0_exc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t_b1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n_phonetic_models/pn_lh_slope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l_f0_b1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t_b1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h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nuc_phonetic_models/nuc_e_t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0"/>
    </sheetNames>
    <sheetDataSet>
      <sheetData sheetId="0">
        <row r="2">
          <cell r="A2" t="str">
            <v>foot_syls1</v>
          </cell>
          <cell r="B2">
            <v>104.017</v>
          </cell>
          <cell r="C2">
            <v>59.7524834498102</v>
          </cell>
          <cell r="D2">
            <v>148.28214351790299</v>
          </cell>
          <cell r="E2">
            <v>17.908999999999999</v>
          </cell>
        </row>
        <row r="3">
          <cell r="A3" t="str">
            <v>foot_syls2</v>
          </cell>
          <cell r="B3">
            <v>106.155</v>
          </cell>
          <cell r="C3">
            <v>29.367657538337198</v>
          </cell>
          <cell r="D3">
            <v>182.941827531559</v>
          </cell>
          <cell r="E3">
            <v>30.146999999999998</v>
          </cell>
        </row>
        <row r="4">
          <cell r="A4" t="str">
            <v>foot_syls3</v>
          </cell>
          <cell r="B4">
            <v>107.041</v>
          </cell>
          <cell r="C4">
            <v>62.776161055912603</v>
          </cell>
          <cell r="D4">
            <v>151.305890625194</v>
          </cell>
          <cell r="E4">
            <v>17.908000000000001</v>
          </cell>
        </row>
        <row r="5">
          <cell r="A5" t="str">
            <v>foot_syls4</v>
          </cell>
          <cell r="B5">
            <v>89.49</v>
          </cell>
          <cell r="C5">
            <v>4.5767949129994996</v>
          </cell>
          <cell r="D5">
            <v>174.40262260314299</v>
          </cell>
          <cell r="E5">
            <v>33.270000000000003</v>
          </cell>
        </row>
        <row r="6">
          <cell r="A6" t="str">
            <v>pre_syls0</v>
          </cell>
          <cell r="B6">
            <v>104.017</v>
          </cell>
          <cell r="C6">
            <v>59.7524834498102</v>
          </cell>
          <cell r="D6">
            <v>148.28214351790299</v>
          </cell>
          <cell r="E6">
            <v>17.908999999999999</v>
          </cell>
        </row>
        <row r="7">
          <cell r="A7" t="str">
            <v>pre_syls1</v>
          </cell>
          <cell r="B7">
            <v>96.242000000000004</v>
          </cell>
          <cell r="C7">
            <v>51.977959985672697</v>
          </cell>
          <cell r="D7">
            <v>140.50700014130501</v>
          </cell>
          <cell r="E7">
            <v>17.917000000000002</v>
          </cell>
        </row>
        <row r="8">
          <cell r="A8" t="str">
            <v>pre_syls2</v>
          </cell>
          <cell r="B8">
            <v>92.210999999999999</v>
          </cell>
          <cell r="C8">
            <v>25.164461015131199</v>
          </cell>
          <cell r="D8">
            <v>159.25668098390301</v>
          </cell>
          <cell r="E8">
            <v>26.552</v>
          </cell>
        </row>
        <row r="9">
          <cell r="A9" t="str">
            <v>pre_syls3</v>
          </cell>
          <cell r="B9">
            <v>65.795000000000002</v>
          </cell>
          <cell r="C9">
            <v>-1.2515637123819201</v>
          </cell>
          <cell r="D9">
            <v>132.840767164743</v>
          </cell>
          <cell r="E9">
            <v>26.555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1"/>
    </sheetNames>
    <sheetDataSet>
      <sheetData sheetId="0">
        <row r="15">
          <cell r="C15">
            <v>-47.808999999999997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0"/>
    </sheetNames>
    <sheetDataSet>
      <sheetData sheetId="0">
        <row r="2">
          <cell r="A2" t="str">
            <v>foot_syls1</v>
          </cell>
          <cell r="B2">
            <v>86.602000000000004</v>
          </cell>
          <cell r="C2">
            <v>83.157857744318605</v>
          </cell>
          <cell r="D2">
            <v>90.0463715210972</v>
          </cell>
          <cell r="E2">
            <v>1.58</v>
          </cell>
        </row>
        <row r="3">
          <cell r="A3" t="str">
            <v>foot_syls2</v>
          </cell>
          <cell r="B3">
            <v>87.965000000000003</v>
          </cell>
          <cell r="C3">
            <v>84.284629006783405</v>
          </cell>
          <cell r="D3">
            <v>91.645700665553207</v>
          </cell>
          <cell r="E3">
            <v>1.7190000000000001</v>
          </cell>
        </row>
        <row r="4">
          <cell r="A4" t="str">
            <v>foot_syls3</v>
          </cell>
          <cell r="B4">
            <v>88.271000000000001</v>
          </cell>
          <cell r="C4">
            <v>84.826381649309795</v>
          </cell>
          <cell r="D4">
            <v>91.714852448669802</v>
          </cell>
          <cell r="E4">
            <v>1.579</v>
          </cell>
        </row>
        <row r="5">
          <cell r="A5" t="str">
            <v>foot_syls4</v>
          </cell>
          <cell r="B5">
            <v>87.86</v>
          </cell>
          <cell r="C5">
            <v>84.179705999273693</v>
          </cell>
          <cell r="D5">
            <v>91.540877773314904</v>
          </cell>
          <cell r="E5">
            <v>1.7190000000000001</v>
          </cell>
        </row>
        <row r="6">
          <cell r="A6" t="str">
            <v>pre_syls0</v>
          </cell>
          <cell r="B6">
            <v>86.602000000000004</v>
          </cell>
          <cell r="C6">
            <v>83.157857744318605</v>
          </cell>
          <cell r="D6">
            <v>90.0463715210972</v>
          </cell>
          <cell r="E6">
            <v>1.58</v>
          </cell>
        </row>
        <row r="7">
          <cell r="A7" t="str">
            <v>pre_syls1</v>
          </cell>
          <cell r="B7">
            <v>87.108000000000004</v>
          </cell>
          <cell r="C7">
            <v>83.662751108630601</v>
          </cell>
          <cell r="D7">
            <v>90.552966666150297</v>
          </cell>
          <cell r="E7">
            <v>1.58</v>
          </cell>
        </row>
        <row r="8">
          <cell r="A8" t="str">
            <v>pre_syls2</v>
          </cell>
          <cell r="B8">
            <v>86.805000000000007</v>
          </cell>
          <cell r="C8">
            <v>83.2095949803238</v>
          </cell>
          <cell r="D8">
            <v>90.401018560517798</v>
          </cell>
          <cell r="E8">
            <v>1.675</v>
          </cell>
        </row>
        <row r="9">
          <cell r="A9" t="str">
            <v>pre_syls3</v>
          </cell>
          <cell r="B9">
            <v>86.796999999999997</v>
          </cell>
          <cell r="C9">
            <v>83.201522397340398</v>
          </cell>
          <cell r="D9">
            <v>90.393465082151494</v>
          </cell>
          <cell r="E9">
            <v>1.675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f0_b1"/>
    </sheetNames>
    <sheetDataSet>
      <sheetData sheetId="0">
        <row r="14">
          <cell r="C14">
            <v>-5.5940000000000003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f0_exc_b0"/>
    </sheetNames>
    <sheetDataSet>
      <sheetData sheetId="0">
        <row r="2">
          <cell r="A2" t="str">
            <v>foot_syls1</v>
          </cell>
          <cell r="B2">
            <v>4.1630000000000003</v>
          </cell>
          <cell r="C2">
            <v>2.4128418911201299</v>
          </cell>
          <cell r="D2">
            <v>5.9138523360805699</v>
          </cell>
          <cell r="E2">
            <v>0.753</v>
          </cell>
        </row>
        <row r="3">
          <cell r="A3" t="str">
            <v>foot_syls2</v>
          </cell>
          <cell r="B3">
            <v>4.5659999999999998</v>
          </cell>
          <cell r="C3">
            <v>1.57007415012632</v>
          </cell>
          <cell r="D3">
            <v>7.56256913422766</v>
          </cell>
          <cell r="E3">
            <v>1.2410000000000001</v>
          </cell>
        </row>
        <row r="4">
          <cell r="A4" t="str">
            <v>foot_syls3</v>
          </cell>
          <cell r="B4">
            <v>6.08</v>
          </cell>
          <cell r="C4">
            <v>4.3291122790255203</v>
          </cell>
          <cell r="D4">
            <v>7.8301083595901799</v>
          </cell>
          <cell r="E4">
            <v>0.753</v>
          </cell>
        </row>
        <row r="5">
          <cell r="A5" t="str">
            <v>foot_syls4</v>
          </cell>
          <cell r="B5">
            <v>5.1120000000000001</v>
          </cell>
          <cell r="C5">
            <v>2.1159174332932098</v>
          </cell>
          <cell r="D5">
            <v>8.1085807122551508</v>
          </cell>
          <cell r="E5">
            <v>1.242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h_slope_b0"/>
    </sheetNames>
    <sheetDataSet>
      <sheetData sheetId="0">
        <row r="2">
          <cell r="A2" t="str">
            <v>foot_syls1</v>
          </cell>
          <cell r="B2">
            <v>3.3220000000000001</v>
          </cell>
          <cell r="C2">
            <v>3.0267743086411198</v>
          </cell>
          <cell r="D2">
            <v>3.6177847036111102</v>
          </cell>
          <cell r="E2">
            <v>0.13200000000000001</v>
          </cell>
        </row>
        <row r="3">
          <cell r="A3" t="str">
            <v>foot_syls2</v>
          </cell>
          <cell r="B3">
            <v>3.2989999999999999</v>
          </cell>
          <cell r="C3">
            <v>2.8081247478159699</v>
          </cell>
          <cell r="D3">
            <v>3.78972770634011</v>
          </cell>
          <cell r="E3">
            <v>0.20699999999999999</v>
          </cell>
        </row>
        <row r="4">
          <cell r="A4" t="str">
            <v>foot_syls3</v>
          </cell>
          <cell r="B4">
            <v>3.1930000000000001</v>
          </cell>
          <cell r="C4">
            <v>2.8973536996376401</v>
          </cell>
          <cell r="D4">
            <v>3.4882708086408698</v>
          </cell>
          <cell r="E4">
            <v>0.13200000000000001</v>
          </cell>
        </row>
        <row r="5">
          <cell r="A5" t="str">
            <v>foot_syls4</v>
          </cell>
          <cell r="B5">
            <v>2.5470000000000002</v>
          </cell>
          <cell r="C5">
            <v>2.0564958763876899</v>
          </cell>
          <cell r="D5">
            <v>3.0381038909685101</v>
          </cell>
          <cell r="E5">
            <v>0.20699999999999999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t_b0"/>
    </sheetNames>
    <sheetDataSet>
      <sheetData sheetId="0">
        <row r="2">
          <cell r="A2" t="str">
            <v>ana_syls0</v>
          </cell>
          <cell r="B2">
            <v>87.521000000000001</v>
          </cell>
          <cell r="C2">
            <v>-142.18403132901901</v>
          </cell>
          <cell r="D2">
            <v>317.225577208819</v>
          </cell>
          <cell r="E2">
            <v>51.435000000000002</v>
          </cell>
        </row>
        <row r="3">
          <cell r="A3" t="str">
            <v>ana_syls1</v>
          </cell>
          <cell r="B3">
            <v>28.847000000000001</v>
          </cell>
          <cell r="C3">
            <v>-47.743912842866798</v>
          </cell>
          <cell r="D3">
            <v>105.437202953376</v>
          </cell>
          <cell r="E3">
            <v>20.638000000000002</v>
          </cell>
        </row>
        <row r="4">
          <cell r="A4" t="str">
            <v>ana_syls2</v>
          </cell>
          <cell r="B4">
            <v>70.17</v>
          </cell>
          <cell r="C4">
            <v>-101.811084145064</v>
          </cell>
          <cell r="D4">
            <v>242.15091752223299</v>
          </cell>
          <cell r="E4">
            <v>32.359000000000002</v>
          </cell>
        </row>
        <row r="5">
          <cell r="A5" t="str">
            <v>ana_syls3</v>
          </cell>
          <cell r="B5">
            <v>80.019000000000005</v>
          </cell>
          <cell r="C5">
            <v>-92.180124499966794</v>
          </cell>
          <cell r="D5">
            <v>252.217436731531</v>
          </cell>
          <cell r="E5">
            <v>32.348999999999997</v>
          </cell>
        </row>
        <row r="6">
          <cell r="A6" t="str">
            <v>foot_syls1</v>
          </cell>
          <cell r="B6">
            <v>87.521000000000001</v>
          </cell>
          <cell r="C6">
            <v>-142.18403132901901</v>
          </cell>
          <cell r="D6">
            <v>317.225577208819</v>
          </cell>
          <cell r="E6">
            <v>51.435000000000002</v>
          </cell>
        </row>
        <row r="7">
          <cell r="A7" t="str">
            <v>foot_syls2</v>
          </cell>
          <cell r="B7">
            <v>96.442999999999998</v>
          </cell>
          <cell r="C7">
            <v>-135.91165139314199</v>
          </cell>
          <cell r="D7">
            <v>328.79787602560799</v>
          </cell>
          <cell r="E7">
            <v>51.207000000000001</v>
          </cell>
        </row>
        <row r="8">
          <cell r="A8" t="str">
            <v>foot_syls3</v>
          </cell>
          <cell r="B8">
            <v>102.935</v>
          </cell>
          <cell r="C8">
            <v>-124.335964371103</v>
          </cell>
          <cell r="D8">
            <v>330.206780160177</v>
          </cell>
          <cell r="E8">
            <v>51.600999999999999</v>
          </cell>
        </row>
        <row r="9">
          <cell r="A9" t="str">
            <v>foot_syls4</v>
          </cell>
          <cell r="B9">
            <v>122.053</v>
          </cell>
          <cell r="C9">
            <v>-106.458642645353</v>
          </cell>
          <cell r="D9">
            <v>350.56525958932002</v>
          </cell>
          <cell r="E9">
            <v>51.515999999999998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_f0_b0"/>
    </sheetNames>
    <sheetDataSet>
      <sheetData sheetId="0">
        <row r="2">
          <cell r="A2" t="str">
            <v>ana_syls0</v>
          </cell>
          <cell r="B2">
            <v>85.227999999999994</v>
          </cell>
          <cell r="C2">
            <v>82.200254272024097</v>
          </cell>
          <cell r="D2">
            <v>88.255928474584906</v>
          </cell>
          <cell r="E2">
            <v>1.373</v>
          </cell>
        </row>
        <row r="3">
          <cell r="A3" t="str">
            <v>ana_syls1</v>
          </cell>
          <cell r="B3">
            <v>86.135000000000005</v>
          </cell>
          <cell r="C3">
            <v>83.121660362266596</v>
          </cell>
          <cell r="D3">
            <v>89.148137333046904</v>
          </cell>
          <cell r="E3">
            <v>1.359</v>
          </cell>
        </row>
        <row r="4">
          <cell r="A4" t="str">
            <v>ana_syls2</v>
          </cell>
          <cell r="B4">
            <v>85.457999999999998</v>
          </cell>
          <cell r="C4">
            <v>82.431091949304601</v>
          </cell>
          <cell r="D4">
            <v>88.485711745757996</v>
          </cell>
          <cell r="E4">
            <v>1.3720000000000001</v>
          </cell>
        </row>
        <row r="5">
          <cell r="A5" t="str">
            <v>ana_syls3</v>
          </cell>
          <cell r="B5">
            <v>85.32</v>
          </cell>
          <cell r="C5">
            <v>82.292584233335504</v>
          </cell>
          <cell r="D5">
            <v>88.347662091301999</v>
          </cell>
          <cell r="E5">
            <v>1.373</v>
          </cell>
        </row>
        <row r="6">
          <cell r="A6" t="str">
            <v>foot_syls1</v>
          </cell>
          <cell r="B6">
            <v>85.227999999999994</v>
          </cell>
          <cell r="C6">
            <v>82.200254272024097</v>
          </cell>
          <cell r="D6">
            <v>88.255928474584906</v>
          </cell>
          <cell r="E6">
            <v>1.373</v>
          </cell>
        </row>
        <row r="7">
          <cell r="A7" t="str">
            <v>foot_syls2</v>
          </cell>
          <cell r="B7">
            <v>85.132000000000005</v>
          </cell>
          <cell r="C7">
            <v>82.102636255223899</v>
          </cell>
          <cell r="D7">
            <v>88.161280670752603</v>
          </cell>
          <cell r="E7">
            <v>1.3740000000000001</v>
          </cell>
        </row>
        <row r="8">
          <cell r="A8" t="str">
            <v>foot_syls3</v>
          </cell>
          <cell r="B8">
            <v>85.028000000000006</v>
          </cell>
          <cell r="C8">
            <v>81.980147128262999</v>
          </cell>
          <cell r="D8">
            <v>88.074896162800101</v>
          </cell>
          <cell r="E8">
            <v>1.39</v>
          </cell>
        </row>
        <row r="9">
          <cell r="A9" t="str">
            <v>foot_syls4</v>
          </cell>
          <cell r="B9">
            <v>84.962999999999994</v>
          </cell>
          <cell r="C9">
            <v>81.940576694900699</v>
          </cell>
          <cell r="D9">
            <v>87.985730969124404</v>
          </cell>
          <cell r="E9">
            <v>1.3680000000000001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t_b0"/>
    </sheetNames>
    <sheetDataSet>
      <sheetData sheetId="0">
        <row r="5">
          <cell r="A5" t="str">
            <v>ana_syls0</v>
          </cell>
          <cell r="B5">
            <v>186.215</v>
          </cell>
          <cell r="C5">
            <v>57.281014459313802</v>
          </cell>
          <cell r="D5">
            <v>315.14916990544498</v>
          </cell>
          <cell r="E5">
            <v>32.164999999999999</v>
          </cell>
        </row>
        <row r="6">
          <cell r="A6" t="str">
            <v>ana_syls1</v>
          </cell>
          <cell r="B6">
            <v>151.989</v>
          </cell>
          <cell r="C6">
            <v>112.475042995127</v>
          </cell>
          <cell r="D6">
            <v>191.50330117014499</v>
          </cell>
          <cell r="E6">
            <v>16.164000000000001</v>
          </cell>
        </row>
        <row r="7">
          <cell r="A7" t="str">
            <v>ana_syls2</v>
          </cell>
          <cell r="B7">
            <v>224.31399999999999</v>
          </cell>
          <cell r="C7">
            <v>151.86327797413901</v>
          </cell>
          <cell r="D7">
            <v>296.76414997696702</v>
          </cell>
          <cell r="E7">
            <v>22.977</v>
          </cell>
        </row>
        <row r="8">
          <cell r="A8" t="str">
            <v>ana_syls3</v>
          </cell>
          <cell r="B8">
            <v>237.428</v>
          </cell>
          <cell r="C8">
            <v>164.99686098666601</v>
          </cell>
          <cell r="D8">
            <v>309.8598347002</v>
          </cell>
          <cell r="E8">
            <v>22.981999999999999</v>
          </cell>
        </row>
        <row r="9">
          <cell r="A9" t="str">
            <v>foot_syls1</v>
          </cell>
          <cell r="B9">
            <v>186.215</v>
          </cell>
          <cell r="C9">
            <v>57.281014459313802</v>
          </cell>
          <cell r="D9">
            <v>315.14916990544498</v>
          </cell>
          <cell r="E9">
            <v>32.164999999999999</v>
          </cell>
        </row>
        <row r="10">
          <cell r="A10" t="str">
            <v>foot_syls2</v>
          </cell>
          <cell r="B10">
            <v>217.30199999999999</v>
          </cell>
          <cell r="C10">
            <v>85.340581388749996</v>
          </cell>
          <cell r="D10">
            <v>349.26363940551897</v>
          </cell>
          <cell r="E10">
            <v>31.837</v>
          </cell>
        </row>
        <row r="11">
          <cell r="A11" t="str">
            <v>foot_syls3</v>
          </cell>
          <cell r="B11">
            <v>239.34</v>
          </cell>
          <cell r="C11">
            <v>117.561272393484</v>
          </cell>
          <cell r="D11">
            <v>361.118340570984</v>
          </cell>
          <cell r="E11">
            <v>32.975000000000001</v>
          </cell>
        </row>
        <row r="12">
          <cell r="A12" t="str">
            <v>foot_syls4</v>
          </cell>
          <cell r="B12">
            <v>253.80699999999999</v>
          </cell>
          <cell r="C12">
            <v>129.270939958632</v>
          </cell>
          <cell r="D12">
            <v>378.34233658065398</v>
          </cell>
          <cell r="E12">
            <v>32.643999999999998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h_f0_b0"/>
    </sheetNames>
    <sheetDataSet>
      <sheetData sheetId="0">
        <row r="5">
          <cell r="A5" t="str">
            <v>ana_syls0</v>
          </cell>
          <cell r="B5">
            <v>87.722999999999999</v>
          </cell>
          <cell r="C5">
            <v>84.567553502404195</v>
          </cell>
          <cell r="D5">
            <v>90.877548812808598</v>
          </cell>
          <cell r="E5">
            <v>1.4239999999999999</v>
          </cell>
        </row>
        <row r="6">
          <cell r="A6" t="str">
            <v>ana_syls1</v>
          </cell>
          <cell r="B6">
            <v>88.337999999999994</v>
          </cell>
          <cell r="C6">
            <v>85.512792527610898</v>
          </cell>
          <cell r="D6">
            <v>91.162772275292994</v>
          </cell>
          <cell r="E6">
            <v>1.288</v>
          </cell>
        </row>
        <row r="7">
          <cell r="A7" t="str">
            <v>ana_syls2</v>
          </cell>
          <cell r="B7">
            <v>88.484999999999999</v>
          </cell>
          <cell r="C7">
            <v>85.567725296202198</v>
          </cell>
          <cell r="D7">
            <v>91.402015796185296</v>
          </cell>
          <cell r="E7">
            <v>1.34</v>
          </cell>
        </row>
        <row r="8">
          <cell r="A8" t="str">
            <v>ana_syls3</v>
          </cell>
          <cell r="B8">
            <v>87.78</v>
          </cell>
          <cell r="C8">
            <v>84.862195702853597</v>
          </cell>
          <cell r="D8">
            <v>90.697564500456295</v>
          </cell>
          <cell r="E8">
            <v>1.34</v>
          </cell>
        </row>
        <row r="9">
          <cell r="A9" t="str">
            <v>foot_syls1</v>
          </cell>
          <cell r="B9">
            <v>87.722999999999999</v>
          </cell>
          <cell r="C9">
            <v>84.567553502404195</v>
          </cell>
          <cell r="D9">
            <v>90.877548812808598</v>
          </cell>
          <cell r="E9">
            <v>1.4239999999999999</v>
          </cell>
        </row>
        <row r="10">
          <cell r="A10" t="str">
            <v>foot_syls2</v>
          </cell>
          <cell r="B10">
            <v>87.998999999999995</v>
          </cell>
          <cell r="C10">
            <v>84.855301724140801</v>
          </cell>
          <cell r="D10">
            <v>91.142765692695207</v>
          </cell>
          <cell r="E10">
            <v>1.4159999999999999</v>
          </cell>
        </row>
        <row r="11">
          <cell r="A11" t="str">
            <v>foot_syls3</v>
          </cell>
          <cell r="B11">
            <v>88.537000000000006</v>
          </cell>
          <cell r="C11">
            <v>85.360107513382204</v>
          </cell>
          <cell r="D11">
            <v>91.713958791305103</v>
          </cell>
          <cell r="E11">
            <v>1.4450000000000001</v>
          </cell>
        </row>
        <row r="12">
          <cell r="A12" t="str">
            <v>foot_syls4</v>
          </cell>
          <cell r="B12">
            <v>88.436999999999998</v>
          </cell>
          <cell r="C12">
            <v>85.270075254311905</v>
          </cell>
          <cell r="D12">
            <v>91.604828170651103</v>
          </cell>
          <cell r="E12">
            <v>1.4350000000000001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f0_exc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</row>
        <row r="2">
          <cell r="A2" t="str">
            <v>foot_syls1</v>
          </cell>
          <cell r="B2">
            <v>1.298</v>
          </cell>
          <cell r="C2">
            <v>-6.3562019279553796</v>
          </cell>
          <cell r="D2">
            <v>8.9518665890610407</v>
          </cell>
          <cell r="E2">
            <v>1.321</v>
          </cell>
        </row>
        <row r="3">
          <cell r="A3" t="str">
            <v>foot_syls2</v>
          </cell>
          <cell r="B3">
            <v>1.405</v>
          </cell>
          <cell r="C3">
            <v>-6.4190381452207097</v>
          </cell>
          <cell r="D3">
            <v>9.2292020432522097</v>
          </cell>
          <cell r="E3">
            <v>1.3129999999999999</v>
          </cell>
        </row>
        <row r="4">
          <cell r="A4" t="str">
            <v>foot_syls3</v>
          </cell>
          <cell r="B4">
            <v>1.8879999999999999</v>
          </cell>
          <cell r="C4">
            <v>-5.5037493772178196</v>
          </cell>
          <cell r="D4">
            <v>9.2791229417516305</v>
          </cell>
          <cell r="E4">
            <v>1.331</v>
          </cell>
        </row>
        <row r="5">
          <cell r="A5" t="str">
            <v>foot_syls4</v>
          </cell>
          <cell r="B5">
            <v>1.7210000000000001</v>
          </cell>
          <cell r="C5">
            <v>-5.8200123724501296</v>
          </cell>
          <cell r="D5">
            <v>9.2616276352988791</v>
          </cell>
          <cell r="E5">
            <v>1.3260000000000001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t_b1"/>
    </sheetNames>
    <sheetDataSet>
      <sheetData sheetId="0">
        <row r="14">
          <cell r="C14">
            <v>2.9590000000000001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_lh_slope_b0"/>
    </sheetNames>
    <sheetDataSet>
      <sheetData sheetId="0">
        <row r="2">
          <cell r="A2" t="str">
            <v>foot_syls1</v>
          </cell>
          <cell r="B2">
            <v>2.7839999999999998</v>
          </cell>
          <cell r="C2">
            <v>-0.10684713439322401</v>
          </cell>
          <cell r="D2">
            <v>5.6755676905949901</v>
          </cell>
          <cell r="E2">
            <v>0.45300000000000001</v>
          </cell>
        </row>
        <row r="3">
          <cell r="A3" t="str">
            <v>foot_syls2</v>
          </cell>
          <cell r="B3">
            <v>2.4529999999999998</v>
          </cell>
          <cell r="C3">
            <v>-0.51371751150323897</v>
          </cell>
          <cell r="D3">
            <v>5.42070874850919</v>
          </cell>
          <cell r="E3">
            <v>0.44900000000000001</v>
          </cell>
        </row>
        <row r="4">
          <cell r="A4" t="str">
            <v>foot_syls3</v>
          </cell>
          <cell r="B4">
            <v>2.5659999999999998</v>
          </cell>
          <cell r="C4">
            <v>-0.160073813594521</v>
          </cell>
          <cell r="D4">
            <v>5.2913249152578903</v>
          </cell>
          <cell r="E4">
            <v>0.45800000000000002</v>
          </cell>
        </row>
        <row r="5">
          <cell r="A5" t="str">
            <v>foot_syls4</v>
          </cell>
          <cell r="B5">
            <v>2.6030000000000002</v>
          </cell>
          <cell r="C5">
            <v>-0.21787522043862301</v>
          </cell>
          <cell r="D5">
            <v>5.4235264571914099</v>
          </cell>
          <cell r="E5">
            <v>0.45500000000000002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0"/>
    </sheetNames>
    <sheetDataSet>
      <sheetData sheetId="0">
        <row r="2">
          <cell r="A2" t="str">
            <v>foot_syls1</v>
          </cell>
          <cell r="B2">
            <v>83.015000000000001</v>
          </cell>
          <cell r="C2">
            <v>79.763822584031502</v>
          </cell>
          <cell r="D2">
            <v>86.266726094633299</v>
          </cell>
          <cell r="E2">
            <v>1.466</v>
          </cell>
        </row>
        <row r="3">
          <cell r="A3" t="str">
            <v>foot_syls2</v>
          </cell>
          <cell r="B3">
            <v>83.525000000000006</v>
          </cell>
          <cell r="C3">
            <v>80.244109113205099</v>
          </cell>
          <cell r="D3">
            <v>86.806315253080598</v>
          </cell>
          <cell r="E3">
            <v>1.4910000000000001</v>
          </cell>
        </row>
        <row r="4">
          <cell r="A4" t="str">
            <v>foot_syls3</v>
          </cell>
          <cell r="B4">
            <v>83.48</v>
          </cell>
          <cell r="C4">
            <v>80.228227151880205</v>
          </cell>
          <cell r="D4">
            <v>86.731115759413399</v>
          </cell>
          <cell r="E4">
            <v>1.466</v>
          </cell>
        </row>
        <row r="5">
          <cell r="A5" t="str">
            <v>foot_syls4</v>
          </cell>
          <cell r="B5">
            <v>83.888000000000005</v>
          </cell>
          <cell r="C5">
            <v>80.594869126784801</v>
          </cell>
          <cell r="D5">
            <v>87.180423011342896</v>
          </cell>
          <cell r="E5">
            <v>1.5</v>
          </cell>
        </row>
        <row r="6">
          <cell r="A6" t="str">
            <v>pre_syls0</v>
          </cell>
          <cell r="B6">
            <v>83.015000000000001</v>
          </cell>
          <cell r="C6">
            <v>79.763822584031502</v>
          </cell>
          <cell r="D6">
            <v>86.266726094633299</v>
          </cell>
          <cell r="E6">
            <v>1.466</v>
          </cell>
        </row>
        <row r="7">
          <cell r="A7" t="str">
            <v>pre_syls1</v>
          </cell>
          <cell r="B7">
            <v>83.138999999999996</v>
          </cell>
          <cell r="C7">
            <v>79.887549374532099</v>
          </cell>
          <cell r="D7">
            <v>86.391216687931205</v>
          </cell>
          <cell r="E7">
            <v>1.466</v>
          </cell>
        </row>
        <row r="8">
          <cell r="A8" t="str">
            <v>pre_syls2</v>
          </cell>
          <cell r="B8">
            <v>82.869</v>
          </cell>
          <cell r="C8">
            <v>79.5955194333458</v>
          </cell>
          <cell r="D8">
            <v>86.141528301310501</v>
          </cell>
          <cell r="E8">
            <v>1.4850000000000001</v>
          </cell>
        </row>
        <row r="9">
          <cell r="A9" t="str">
            <v>pre_syls3</v>
          </cell>
          <cell r="B9">
            <v>82.87</v>
          </cell>
          <cell r="C9">
            <v>79.596839727739805</v>
          </cell>
          <cell r="D9">
            <v>86.142879573751301</v>
          </cell>
          <cell r="E9">
            <v>1.4850000000000001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l_f0_b1"/>
    </sheetNames>
    <sheetDataSet>
      <sheetData sheetId="0">
        <row r="14">
          <cell r="C14">
            <v>-0.03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0"/>
    </sheetNames>
    <sheetDataSet>
      <sheetData sheetId="0">
        <row r="2">
          <cell r="A2" t="str">
            <v>foot_syls1</v>
          </cell>
          <cell r="B2">
            <v>282.10899999999998</v>
          </cell>
          <cell r="C2">
            <v>237.471706153166</v>
          </cell>
          <cell r="D2">
            <v>326.74555932667499</v>
          </cell>
          <cell r="E2">
            <v>19.975999999999999</v>
          </cell>
        </row>
        <row r="3">
          <cell r="A3" t="str">
            <v>foot_syls2</v>
          </cell>
          <cell r="B3">
            <v>303.60500000000002</v>
          </cell>
          <cell r="C3">
            <v>229.44691426303999</v>
          </cell>
          <cell r="D3">
            <v>377.76259139609402</v>
          </cell>
          <cell r="E3">
            <v>31.545999999999999</v>
          </cell>
        </row>
        <row r="4">
          <cell r="A4" t="str">
            <v>foot_syls3</v>
          </cell>
          <cell r="B4">
            <v>379.00099999999998</v>
          </cell>
          <cell r="C4">
            <v>334.36576138199501</v>
          </cell>
          <cell r="D4">
            <v>423.63667047318899</v>
          </cell>
          <cell r="E4">
            <v>19.974</v>
          </cell>
        </row>
        <row r="5">
          <cell r="A5" t="str">
            <v>foot_syls4</v>
          </cell>
          <cell r="B5">
            <v>513.71699999999998</v>
          </cell>
          <cell r="C5">
            <v>439.50149488811701</v>
          </cell>
          <cell r="D5">
            <v>587.93238369098594</v>
          </cell>
          <cell r="E5">
            <v>31.547000000000001</v>
          </cell>
        </row>
        <row r="6">
          <cell r="A6" t="str">
            <v>pre_syls0</v>
          </cell>
          <cell r="B6">
            <v>282.10899999999998</v>
          </cell>
          <cell r="C6">
            <v>237.471706153166</v>
          </cell>
          <cell r="D6">
            <v>326.74555932667499</v>
          </cell>
          <cell r="E6">
            <v>19.975999999999999</v>
          </cell>
        </row>
        <row r="7">
          <cell r="A7" t="str">
            <v>pre_syls1</v>
          </cell>
          <cell r="B7">
            <v>247.81</v>
          </cell>
          <cell r="C7">
            <v>203.16360095931401</v>
          </cell>
          <cell r="D7">
            <v>292.45724106866601</v>
          </cell>
          <cell r="E7">
            <v>19.986999999999998</v>
          </cell>
        </row>
        <row r="8">
          <cell r="A8" t="str">
            <v>pre_syls2</v>
          </cell>
          <cell r="B8">
            <v>258.315</v>
          </cell>
          <cell r="C8">
            <v>193.694262027994</v>
          </cell>
          <cell r="D8">
            <v>322.93655775756901</v>
          </cell>
          <cell r="E8">
            <v>27.875</v>
          </cell>
        </row>
        <row r="9">
          <cell r="A9" t="str">
            <v>pre_syls3</v>
          </cell>
          <cell r="B9">
            <v>225.63900000000001</v>
          </cell>
          <cell r="C9">
            <v>161.00926760281601</v>
          </cell>
          <cell r="D9">
            <v>290.269176996542</v>
          </cell>
          <cell r="E9">
            <v>27.876999999999999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t_b1"/>
    </sheetNames>
    <sheetDataSet>
      <sheetData sheetId="0">
        <row r="14">
          <cell r="C14">
            <v>-45.677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0"/>
    </sheetNames>
    <sheetDataSet>
      <sheetData sheetId="0">
        <row r="2">
          <cell r="A2" t="str">
            <v>foot_syls1</v>
          </cell>
          <cell r="B2">
            <v>87.203000000000003</v>
          </cell>
          <cell r="C2">
            <v>83.893223749896407</v>
          </cell>
          <cell r="D2">
            <v>90.511968222098503</v>
          </cell>
          <cell r="E2">
            <v>1.5429999999999999</v>
          </cell>
        </row>
        <row r="3">
          <cell r="A3" t="str">
            <v>foot_syls2</v>
          </cell>
          <cell r="B3">
            <v>88.043000000000006</v>
          </cell>
          <cell r="C3">
            <v>84.171311991278998</v>
          </cell>
          <cell r="D3">
            <v>91.914914711427897</v>
          </cell>
          <cell r="E3">
            <v>1.82</v>
          </cell>
        </row>
        <row r="4">
          <cell r="A4" t="str">
            <v>foot_syls3</v>
          </cell>
          <cell r="B4">
            <v>89.504999999999995</v>
          </cell>
          <cell r="C4">
            <v>86.195451414823395</v>
          </cell>
          <cell r="D4">
            <v>92.814097632678795</v>
          </cell>
          <cell r="E4">
            <v>1.5429999999999999</v>
          </cell>
        </row>
        <row r="5">
          <cell r="A5" t="str">
            <v>foot_syls4</v>
          </cell>
          <cell r="B5">
            <v>88.771000000000001</v>
          </cell>
          <cell r="C5">
            <v>84.899533383041003</v>
          </cell>
          <cell r="D5">
            <v>92.643252910235603</v>
          </cell>
          <cell r="E5">
            <v>1.82</v>
          </cell>
        </row>
        <row r="6">
          <cell r="A6" t="str">
            <v>pre_syls0</v>
          </cell>
          <cell r="B6">
            <v>87.203000000000003</v>
          </cell>
          <cell r="C6">
            <v>83.893223749896407</v>
          </cell>
          <cell r="D6">
            <v>90.511968222098503</v>
          </cell>
          <cell r="E6">
            <v>1.5429999999999999</v>
          </cell>
        </row>
        <row r="7">
          <cell r="A7" t="str">
            <v>pre_syls1</v>
          </cell>
          <cell r="B7">
            <v>88.031000000000006</v>
          </cell>
          <cell r="C7">
            <v>84.720556741174804</v>
          </cell>
          <cell r="D7">
            <v>91.340951018558599</v>
          </cell>
          <cell r="E7">
            <v>1.544</v>
          </cell>
        </row>
        <row r="8">
          <cell r="A8" t="str">
            <v>pre_syls2</v>
          </cell>
          <cell r="B8">
            <v>88.322000000000003</v>
          </cell>
          <cell r="C8">
            <v>84.658187208315695</v>
          </cell>
          <cell r="D8">
            <v>91.986086684520203</v>
          </cell>
          <cell r="E8">
            <v>1.7270000000000001</v>
          </cell>
        </row>
        <row r="9">
          <cell r="A9" t="str">
            <v>pre_syls3</v>
          </cell>
          <cell r="B9">
            <v>88.221999999999994</v>
          </cell>
          <cell r="C9">
            <v>84.5578481250853</v>
          </cell>
          <cell r="D9">
            <v>91.886293699880994</v>
          </cell>
          <cell r="E9">
            <v>1.7270000000000001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h_f0_b1"/>
    </sheetNames>
    <sheetDataSet>
      <sheetData sheetId="0">
        <row r="14">
          <cell r="C14">
            <v>-0.65300000000000002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c_e_t_b0"/>
    </sheetNames>
    <sheetDataSet>
      <sheetData sheetId="0">
        <row r="2">
          <cell r="A2" t="str">
            <v>foot_syls1</v>
          </cell>
          <cell r="B2">
            <v>313.32600000000002</v>
          </cell>
          <cell r="C2">
            <v>257.54055368951401</v>
          </cell>
          <cell r="D2">
            <v>369.11181055409298</v>
          </cell>
          <cell r="E2">
            <v>23.911000000000001</v>
          </cell>
        </row>
        <row r="3">
          <cell r="A3" t="str">
            <v>foot_syls2</v>
          </cell>
          <cell r="B3">
            <v>324.00099999999998</v>
          </cell>
          <cell r="C3">
            <v>228.918264406763</v>
          </cell>
          <cell r="D3">
            <v>419.08424601123897</v>
          </cell>
          <cell r="E3">
            <v>38.470999999999997</v>
          </cell>
        </row>
        <row r="4">
          <cell r="A4" t="str">
            <v>foot_syls3</v>
          </cell>
          <cell r="B4">
            <v>430.53899999999999</v>
          </cell>
          <cell r="C4">
            <v>374.75498183993898</v>
          </cell>
          <cell r="D4">
            <v>486.32373960874997</v>
          </cell>
          <cell r="E4">
            <v>23.908999999999999</v>
          </cell>
        </row>
        <row r="5">
          <cell r="A5" t="str">
            <v>foot_syls4</v>
          </cell>
          <cell r="B5">
            <v>572.20000000000005</v>
          </cell>
          <cell r="C5">
            <v>467.09688999746498</v>
          </cell>
          <cell r="D5">
            <v>677.30374955286197</v>
          </cell>
          <cell r="E5">
            <v>42.259</v>
          </cell>
        </row>
        <row r="6">
          <cell r="A6" t="str">
            <v>pre_syls0</v>
          </cell>
          <cell r="B6">
            <v>313.32600000000002</v>
          </cell>
          <cell r="C6">
            <v>257.54055368951401</v>
          </cell>
          <cell r="D6">
            <v>369.11181055409298</v>
          </cell>
          <cell r="E6">
            <v>23.911000000000001</v>
          </cell>
        </row>
        <row r="7">
          <cell r="A7" t="str">
            <v>pre_syls1</v>
          </cell>
          <cell r="B7">
            <v>282.40600000000001</v>
          </cell>
          <cell r="C7">
            <v>226.612112090957</v>
          </cell>
          <cell r="D7">
            <v>338.20067261189001</v>
          </cell>
          <cell r="E7">
            <v>23.925999999999998</v>
          </cell>
        </row>
        <row r="8">
          <cell r="A8" t="str">
            <v>pre_syls2</v>
          </cell>
          <cell r="B8">
            <v>308.87</v>
          </cell>
          <cell r="C8">
            <v>225.68707163870101</v>
          </cell>
          <cell r="D8">
            <v>392.05230006507901</v>
          </cell>
          <cell r="E8">
            <v>34.134</v>
          </cell>
        </row>
        <row r="9">
          <cell r="A9" t="str">
            <v>pre_syls3</v>
          </cell>
          <cell r="B9">
            <v>272.78500000000003</v>
          </cell>
          <cell r="C9">
            <v>189.60147089595199</v>
          </cell>
          <cell r="D9">
            <v>355.96871417197002</v>
          </cell>
          <cell r="E9">
            <v>34.137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0795BF-185B-4519-A736-22D534BC7D3B}" name="Table1" displayName="Table1" ref="A1:I8" totalsRowShown="0" headerRowDxfId="6" headerRowBorderDxfId="5">
  <autoFilter ref="A1:I8" xr:uid="{07B42067-24E8-43DB-AE57-37A21BE9E32A}">
    <filterColumn colId="1">
      <filters blank="1">
        <filter val="1"/>
        <filter val="3"/>
      </filters>
    </filterColumn>
  </autoFilter>
  <tableColumns count="9">
    <tableColumn id="1" xr3:uid="{5371554D-DA1B-4B68-AB5C-23CEFF8D9436}" name="pre-nuclear phrase" dataDxfId="4"/>
    <tableColumn id="2" xr3:uid="{5CCBA533-A9EE-4C09-9F15-CE57F5948F3D}" name="pairing" dataDxfId="3"/>
    <tableColumn id="3" xr3:uid="{FEF8CD11-BD2F-48BB-B6D9-CE0198FBE718}" name="anacr." dataDxfId="2"/>
    <tableColumn id="4" xr3:uid="{07ACF7BA-8A7E-4C3D-9A49-9AB517533968}" name="word-end syl." dataDxfId="1"/>
    <tableColumn id="5" xr3:uid="{9FBD1F0E-4D7A-43C6-A14B-D78F46262A9A}" name="(*)" dataDxfId="0"/>
    <tableColumn id="6" xr3:uid="{1401B170-66E2-4B3B-816F-643567E0C4A7}" name="L*H"/>
    <tableColumn id="7" xr3:uid="{3F5CF46D-9D21-46D7-8224-0966963746A3}" name="&gt;H*"/>
    <tableColumn id="8" xr3:uid="{8EF44466-12A0-4F98-A588-BBDB0A3EA858}" name="H*"/>
    <tableColumn id="9" xr3:uid="{FAE85633-40C2-49C8-9E75-CC4E1073ABF7}" name="Tot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130F-68F7-4AB5-A7B9-D1C7DF27C657}">
  <dimension ref="A1:AP40"/>
  <sheetViews>
    <sheetView zoomScaleNormal="100" workbookViewId="0">
      <selection activeCell="A20" sqref="A20"/>
    </sheetView>
  </sheetViews>
  <sheetFormatPr defaultRowHeight="15" x14ac:dyDescent="0.25"/>
  <cols>
    <col min="1" max="1" width="8.85546875" customWidth="1"/>
    <col min="6" max="6" width="8.85546875" style="9"/>
    <col min="7" max="7" width="8.85546875" style="1"/>
    <col min="8" max="9" width="8.85546875" style="9"/>
  </cols>
  <sheetData>
    <row r="1" spans="1:9" x14ac:dyDescent="0.25">
      <c r="A1" t="s">
        <v>12</v>
      </c>
      <c r="G1" s="12" t="s">
        <v>13</v>
      </c>
    </row>
    <row r="2" spans="1: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25">
      <c r="A3" s="3" t="str">
        <f>RIGHT([1]nuc_l_t_b0!A2,5)</f>
        <v>syls1</v>
      </c>
      <c r="B3" s="3">
        <f>[1]nuc_l_t_b0!B2</f>
        <v>104.017</v>
      </c>
      <c r="C3" s="3">
        <f>[1]nuc_l_t_b0!C2</f>
        <v>59.7524834498102</v>
      </c>
      <c r="D3" s="3">
        <f>[1]nuc_l_t_b0!D2</f>
        <v>148.28214351790299</v>
      </c>
      <c r="E3">
        <f>[1]nuc_l_t_b0!E2</f>
        <v>17.908999999999999</v>
      </c>
      <c r="F3" s="9">
        <f>B3-C3</f>
        <v>44.264516550189796</v>
      </c>
      <c r="G3" s="3">
        <f>[2]nuc_l_t_b1!$C$14</f>
        <v>2.9590000000000001</v>
      </c>
      <c r="H3" s="9" t="str">
        <f>A3</f>
        <v>syls1</v>
      </c>
      <c r="I3" s="10">
        <f>B3+$G3</f>
        <v>106.976</v>
      </c>
    </row>
    <row r="4" spans="1:9" x14ac:dyDescent="0.25">
      <c r="A4" s="3" t="str">
        <f>RIGHT([1]nuc_l_t_b0!A3,5)</f>
        <v>syls2</v>
      </c>
      <c r="B4" s="3">
        <f>[1]nuc_l_t_b0!B3</f>
        <v>106.155</v>
      </c>
      <c r="C4" s="3">
        <f>[1]nuc_l_t_b0!C3</f>
        <v>29.367657538337198</v>
      </c>
      <c r="D4" s="3">
        <f>[1]nuc_l_t_b0!D3</f>
        <v>182.941827531559</v>
      </c>
      <c r="E4">
        <f>[1]nuc_l_t_b0!E3</f>
        <v>30.146999999999998</v>
      </c>
      <c r="F4" s="9">
        <f>B4-C4</f>
        <v>76.787342461662803</v>
      </c>
      <c r="G4" s="3">
        <f>[2]nuc_l_t_b1!$C$14</f>
        <v>2.9590000000000001</v>
      </c>
      <c r="H4" s="9" t="str">
        <f>A4</f>
        <v>syls2</v>
      </c>
      <c r="I4" s="10">
        <f>B4+$G4</f>
        <v>109.114</v>
      </c>
    </row>
    <row r="5" spans="1:9" x14ac:dyDescent="0.25">
      <c r="A5" s="3" t="str">
        <f>RIGHT([1]nuc_l_t_b0!A4,5)</f>
        <v>syls3</v>
      </c>
      <c r="B5" s="3">
        <f>[1]nuc_l_t_b0!B4</f>
        <v>107.041</v>
      </c>
      <c r="C5" s="3">
        <f>[1]nuc_l_t_b0!C4</f>
        <v>62.776161055912603</v>
      </c>
      <c r="D5" s="3">
        <f>[1]nuc_l_t_b0!D4</f>
        <v>151.305890625194</v>
      </c>
      <c r="E5">
        <f>[1]nuc_l_t_b0!E4</f>
        <v>17.908000000000001</v>
      </c>
      <c r="F5" s="9">
        <f>B5-C5</f>
        <v>44.264838944087394</v>
      </c>
      <c r="G5" s="3">
        <f>[2]nuc_l_t_b1!$C$14</f>
        <v>2.9590000000000001</v>
      </c>
      <c r="H5" s="9" t="str">
        <f>A5</f>
        <v>syls3</v>
      </c>
      <c r="I5" s="10">
        <f>B5+$G5</f>
        <v>110</v>
      </c>
    </row>
    <row r="6" spans="1:9" x14ac:dyDescent="0.25">
      <c r="A6" s="3" t="str">
        <f>RIGHT([1]nuc_l_t_b0!A5,5)</f>
        <v>syls4</v>
      </c>
      <c r="B6" s="3">
        <f>[1]nuc_l_t_b0!B5</f>
        <v>89.49</v>
      </c>
      <c r="C6" s="3">
        <f>[1]nuc_l_t_b0!C5</f>
        <v>4.5767949129994996</v>
      </c>
      <c r="D6" s="3">
        <f>[1]nuc_l_t_b0!D5</f>
        <v>174.40262260314299</v>
      </c>
      <c r="E6">
        <f>[1]nuc_l_t_b0!E5</f>
        <v>33.270000000000003</v>
      </c>
      <c r="F6" s="9">
        <f>B6-C6</f>
        <v>84.913205087000492</v>
      </c>
      <c r="G6" s="3">
        <f>[2]nuc_l_t_b1!$C$14</f>
        <v>2.9590000000000001</v>
      </c>
      <c r="H6" s="9" t="str">
        <f>A6</f>
        <v>syls4</v>
      </c>
      <c r="I6" s="10">
        <f>B6+$G6</f>
        <v>92.448999999999998</v>
      </c>
    </row>
    <row r="8" spans="1:9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>A8</f>
        <v>l_f0</v>
      </c>
      <c r="I8" s="9" t="str">
        <f>B8</f>
        <v>predicted</v>
      </c>
    </row>
    <row r="9" spans="1:9" x14ac:dyDescent="0.25">
      <c r="A9" s="2" t="str">
        <f>RIGHT([3]nuc_l_f0_b0!A2,5)</f>
        <v>syls1</v>
      </c>
      <c r="B9" s="2">
        <f>[3]nuc_l_f0_b0!B2</f>
        <v>83.015000000000001</v>
      </c>
      <c r="C9" s="2">
        <f>[3]nuc_l_f0_b0!C2</f>
        <v>79.763822584031502</v>
      </c>
      <c r="D9" s="2">
        <f>[3]nuc_l_f0_b0!D2</f>
        <v>86.266726094633299</v>
      </c>
      <c r="E9">
        <f>[3]nuc_l_f0_b0!E2</f>
        <v>1.466</v>
      </c>
      <c r="F9" s="9">
        <f t="shared" ref="F9:F38" si="0">B9-C9</f>
        <v>3.251177415968499</v>
      </c>
      <c r="G9" s="2">
        <f>[4]nuc_l_f0_b1!$C$14</f>
        <v>-0.03</v>
      </c>
      <c r="H9" s="9" t="str">
        <f>A9</f>
        <v>syls1</v>
      </c>
      <c r="I9" s="11">
        <f>B9+$G9</f>
        <v>82.984999999999999</v>
      </c>
    </row>
    <row r="10" spans="1:9" x14ac:dyDescent="0.25">
      <c r="A10" s="2" t="str">
        <f>RIGHT([3]nuc_l_f0_b0!A3,5)</f>
        <v>syls2</v>
      </c>
      <c r="B10" s="2">
        <f>[3]nuc_l_f0_b0!B3</f>
        <v>83.525000000000006</v>
      </c>
      <c r="C10" s="2">
        <f>[3]nuc_l_f0_b0!C3</f>
        <v>80.244109113205099</v>
      </c>
      <c r="D10" s="2">
        <f>[3]nuc_l_f0_b0!D3</f>
        <v>86.806315253080598</v>
      </c>
      <c r="E10">
        <f>[3]nuc_l_f0_b0!E3</f>
        <v>1.4910000000000001</v>
      </c>
      <c r="F10" s="9">
        <f t="shared" si="0"/>
        <v>3.2808908867949071</v>
      </c>
      <c r="G10" s="2">
        <f>[4]nuc_l_f0_b1!$C$14</f>
        <v>-0.03</v>
      </c>
      <c r="H10" s="9" t="str">
        <f>A10</f>
        <v>syls2</v>
      </c>
      <c r="I10" s="11">
        <f>B10+$G10</f>
        <v>83.495000000000005</v>
      </c>
    </row>
    <row r="11" spans="1:9" x14ac:dyDescent="0.25">
      <c r="A11" s="2" t="str">
        <f>RIGHT([3]nuc_l_f0_b0!A4,5)</f>
        <v>syls3</v>
      </c>
      <c r="B11" s="2">
        <f>[3]nuc_l_f0_b0!B4</f>
        <v>83.48</v>
      </c>
      <c r="C11" s="2">
        <f>[3]nuc_l_f0_b0!C4</f>
        <v>80.228227151880205</v>
      </c>
      <c r="D11" s="2">
        <f>[3]nuc_l_f0_b0!D4</f>
        <v>86.731115759413399</v>
      </c>
      <c r="E11">
        <f>[3]nuc_l_f0_b0!E4</f>
        <v>1.466</v>
      </c>
      <c r="F11" s="9">
        <f t="shared" si="0"/>
        <v>3.2517728481197992</v>
      </c>
      <c r="G11" s="2">
        <f>[4]nuc_l_f0_b1!$C$14</f>
        <v>-0.03</v>
      </c>
      <c r="H11" s="9" t="str">
        <f>A11</f>
        <v>syls3</v>
      </c>
      <c r="I11" s="11">
        <f>B11+$G11</f>
        <v>83.45</v>
      </c>
    </row>
    <row r="12" spans="1:9" x14ac:dyDescent="0.25">
      <c r="A12" s="2" t="str">
        <f>RIGHT([3]nuc_l_f0_b0!A5,5)</f>
        <v>syls4</v>
      </c>
      <c r="B12" s="2">
        <f>[3]nuc_l_f0_b0!B5</f>
        <v>83.888000000000005</v>
      </c>
      <c r="C12" s="2">
        <f>[3]nuc_l_f0_b0!C5</f>
        <v>80.594869126784801</v>
      </c>
      <c r="D12" s="2">
        <f>[3]nuc_l_f0_b0!D5</f>
        <v>87.180423011342896</v>
      </c>
      <c r="E12">
        <f>[3]nuc_l_f0_b0!E5</f>
        <v>1.5</v>
      </c>
      <c r="F12" s="9">
        <f t="shared" si="0"/>
        <v>3.2931308732152047</v>
      </c>
      <c r="G12" s="2">
        <f>[4]nuc_l_f0_b1!$C$14</f>
        <v>-0.03</v>
      </c>
      <c r="H12" s="9" t="str">
        <f>A12</f>
        <v>syls4</v>
      </c>
      <c r="I12" s="11">
        <f>B12+$G12</f>
        <v>83.858000000000004</v>
      </c>
    </row>
    <row r="15" spans="1:9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>A15</f>
        <v>h_t</v>
      </c>
      <c r="I15" s="9" t="str">
        <f>B15</f>
        <v>predicted</v>
      </c>
    </row>
    <row r="16" spans="1:9" x14ac:dyDescent="0.25">
      <c r="A16" s="3" t="str">
        <f>RIGHT([5]nuc_h_t_b0!A2,5)</f>
        <v>syls1</v>
      </c>
      <c r="B16" s="3">
        <f>[5]nuc_h_t_b0!B2</f>
        <v>282.10899999999998</v>
      </c>
      <c r="C16" s="3">
        <f>[5]nuc_h_t_b0!C2</f>
        <v>237.471706153166</v>
      </c>
      <c r="D16" s="3">
        <f>[5]nuc_h_t_b0!D2</f>
        <v>326.74555932667499</v>
      </c>
      <c r="E16">
        <f>[5]nuc_h_t_b0!E2</f>
        <v>19.975999999999999</v>
      </c>
      <c r="F16" s="9">
        <f t="shared" si="0"/>
        <v>44.637293846833984</v>
      </c>
      <c r="G16" s="3">
        <f>[6]nuc_h_t_b1!$C$14</f>
        <v>-45.677</v>
      </c>
      <c r="H16" s="9" t="str">
        <f>A16</f>
        <v>syls1</v>
      </c>
      <c r="I16" s="10">
        <f>B16+$G16</f>
        <v>236.43199999999999</v>
      </c>
    </row>
    <row r="17" spans="1:42" x14ac:dyDescent="0.25">
      <c r="A17" s="3" t="str">
        <f>RIGHT([5]nuc_h_t_b0!A3,5)</f>
        <v>syls2</v>
      </c>
      <c r="B17" s="3">
        <f>[5]nuc_h_t_b0!B3</f>
        <v>303.60500000000002</v>
      </c>
      <c r="C17" s="3">
        <f>[5]nuc_h_t_b0!C3</f>
        <v>229.44691426303999</v>
      </c>
      <c r="D17" s="3">
        <f>[5]nuc_h_t_b0!D3</f>
        <v>377.76259139609402</v>
      </c>
      <c r="E17">
        <f>[5]nuc_h_t_b0!E3</f>
        <v>31.545999999999999</v>
      </c>
      <c r="F17" s="9">
        <f t="shared" si="0"/>
        <v>74.158085736960032</v>
      </c>
      <c r="G17" s="3">
        <f>[6]nuc_h_t_b1!$C$14</f>
        <v>-45.677</v>
      </c>
      <c r="H17" s="9" t="str">
        <f>A17</f>
        <v>syls2</v>
      </c>
      <c r="I17" s="10">
        <f>B17+$G17</f>
        <v>257.928</v>
      </c>
    </row>
    <row r="18" spans="1:42" x14ac:dyDescent="0.25">
      <c r="A18" s="3" t="str">
        <f>RIGHT([5]nuc_h_t_b0!A4,5)</f>
        <v>syls3</v>
      </c>
      <c r="B18" s="3">
        <f>[5]nuc_h_t_b0!B4</f>
        <v>379.00099999999998</v>
      </c>
      <c r="C18" s="3">
        <f>[5]nuc_h_t_b0!C4</f>
        <v>334.36576138199501</v>
      </c>
      <c r="D18" s="3">
        <f>[5]nuc_h_t_b0!D4</f>
        <v>423.63667047318899</v>
      </c>
      <c r="E18">
        <f>[5]nuc_h_t_b0!E4</f>
        <v>19.974</v>
      </c>
      <c r="F18" s="9">
        <f t="shared" si="0"/>
        <v>44.635238618004962</v>
      </c>
      <c r="G18" s="3">
        <f>[6]nuc_h_t_b1!$C$14</f>
        <v>-45.677</v>
      </c>
      <c r="H18" s="9" t="str">
        <f>A18</f>
        <v>syls3</v>
      </c>
      <c r="I18" s="10">
        <f>B18+$G18</f>
        <v>333.32399999999996</v>
      </c>
      <c r="AC18" s="9" t="s">
        <v>15</v>
      </c>
    </row>
    <row r="19" spans="1:42" x14ac:dyDescent="0.25">
      <c r="A19" s="3" t="str">
        <f>RIGHT([5]nuc_h_t_b0!A5,5)</f>
        <v>syls4</v>
      </c>
      <c r="B19" s="3">
        <f>[5]nuc_h_t_b0!B5</f>
        <v>513.71699999999998</v>
      </c>
      <c r="C19" s="3">
        <f>[5]nuc_h_t_b0!C5</f>
        <v>439.50149488811701</v>
      </c>
      <c r="D19" s="3">
        <f>[5]nuc_h_t_b0!D5</f>
        <v>587.93238369098594</v>
      </c>
      <c r="E19">
        <f>[5]nuc_h_t_b0!E5</f>
        <v>31.547000000000001</v>
      </c>
      <c r="F19" s="9">
        <f t="shared" si="0"/>
        <v>74.215505111882976</v>
      </c>
      <c r="G19" s="3">
        <f>[6]nuc_h_t_b1!$C$14</f>
        <v>-45.677</v>
      </c>
      <c r="H19" s="9" t="str">
        <f>A19</f>
        <v>syls4</v>
      </c>
      <c r="I19" s="10">
        <f>B19+$G19</f>
        <v>468.03999999999996</v>
      </c>
      <c r="AC19" s="9" t="s">
        <v>17</v>
      </c>
    </row>
    <row r="20" spans="1:42" x14ac:dyDescent="0.25">
      <c r="AC20" s="9" t="s">
        <v>18</v>
      </c>
    </row>
    <row r="21" spans="1:42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>A21</f>
        <v>h_f0</v>
      </c>
      <c r="I21" s="9" t="str">
        <f>B21</f>
        <v>predicted</v>
      </c>
      <c r="AC21" s="9" t="s">
        <v>16</v>
      </c>
      <c r="AP21" t="s">
        <v>14</v>
      </c>
    </row>
    <row r="22" spans="1:42" x14ac:dyDescent="0.25">
      <c r="A22" s="2" t="str">
        <f>RIGHT([7]nuc_h_f0_b0!A2,5)</f>
        <v>syls1</v>
      </c>
      <c r="B22" s="2">
        <f>[7]nuc_h_f0_b0!B2</f>
        <v>87.203000000000003</v>
      </c>
      <c r="C22" s="2">
        <f>[7]nuc_h_f0_b0!C2</f>
        <v>83.893223749896407</v>
      </c>
      <c r="D22" s="2">
        <f>[7]nuc_h_f0_b0!D2</f>
        <v>90.511968222098503</v>
      </c>
      <c r="E22">
        <f>[7]nuc_h_f0_b0!E2</f>
        <v>1.5429999999999999</v>
      </c>
      <c r="F22" s="9">
        <f t="shared" si="0"/>
        <v>3.3097762501035959</v>
      </c>
      <c r="G22" s="2">
        <f>[8]nuc_h_f0_b1!$C$14</f>
        <v>-0.65300000000000002</v>
      </c>
      <c r="H22" s="9" t="str">
        <f>A22</f>
        <v>syls1</v>
      </c>
      <c r="I22" s="11">
        <f>B22+$G22</f>
        <v>86.55</v>
      </c>
    </row>
    <row r="23" spans="1:42" x14ac:dyDescent="0.25">
      <c r="A23" s="2" t="str">
        <f>RIGHT([7]nuc_h_f0_b0!A3,5)</f>
        <v>syls2</v>
      </c>
      <c r="B23" s="2">
        <f>[7]nuc_h_f0_b0!B3</f>
        <v>88.043000000000006</v>
      </c>
      <c r="C23" s="2">
        <f>[7]nuc_h_f0_b0!C3</f>
        <v>84.171311991278998</v>
      </c>
      <c r="D23" s="2">
        <f>[7]nuc_h_f0_b0!D3</f>
        <v>91.914914711427897</v>
      </c>
      <c r="E23">
        <f>[7]nuc_h_f0_b0!E3</f>
        <v>1.82</v>
      </c>
      <c r="F23" s="9">
        <f t="shared" si="0"/>
        <v>3.8716880087210086</v>
      </c>
      <c r="G23" s="2">
        <f>[8]nuc_h_f0_b1!$C$14</f>
        <v>-0.65300000000000002</v>
      </c>
      <c r="H23" s="9" t="str">
        <f>A23</f>
        <v>syls2</v>
      </c>
      <c r="I23" s="11">
        <f>B23+$G23</f>
        <v>87.39</v>
      </c>
    </row>
    <row r="24" spans="1:42" x14ac:dyDescent="0.25">
      <c r="A24" s="2" t="str">
        <f>RIGHT([7]nuc_h_f0_b0!A4,5)</f>
        <v>syls3</v>
      </c>
      <c r="B24" s="2">
        <f>[7]nuc_h_f0_b0!B4</f>
        <v>89.504999999999995</v>
      </c>
      <c r="C24" s="2">
        <f>[7]nuc_h_f0_b0!C4</f>
        <v>86.195451414823395</v>
      </c>
      <c r="D24" s="2">
        <f>[7]nuc_h_f0_b0!D4</f>
        <v>92.814097632678795</v>
      </c>
      <c r="E24">
        <f>[7]nuc_h_f0_b0!E4</f>
        <v>1.5429999999999999</v>
      </c>
      <c r="F24" s="9">
        <f t="shared" si="0"/>
        <v>3.3095485851766</v>
      </c>
      <c r="G24" s="2">
        <f>[8]nuc_h_f0_b1!$C$14</f>
        <v>-0.65300000000000002</v>
      </c>
      <c r="H24" s="9" t="str">
        <f>A24</f>
        <v>syls3</v>
      </c>
      <c r="I24" s="11">
        <f>B24+$G24</f>
        <v>88.85199999999999</v>
      </c>
    </row>
    <row r="25" spans="1:42" x14ac:dyDescent="0.25">
      <c r="A25" s="2" t="str">
        <f>RIGHT([7]nuc_h_f0_b0!A5,5)</f>
        <v>syls4</v>
      </c>
      <c r="B25" s="2">
        <f>[7]nuc_h_f0_b0!B5</f>
        <v>88.771000000000001</v>
      </c>
      <c r="C25" s="2">
        <f>[7]nuc_h_f0_b0!C5</f>
        <v>84.899533383041003</v>
      </c>
      <c r="D25" s="2">
        <f>[7]nuc_h_f0_b0!D5</f>
        <v>92.643252910235603</v>
      </c>
      <c r="E25">
        <f>[7]nuc_h_f0_b0!E5</f>
        <v>1.82</v>
      </c>
      <c r="F25" s="9">
        <f t="shared" si="0"/>
        <v>3.8714666169589975</v>
      </c>
      <c r="G25" s="2">
        <f>[8]nuc_h_f0_b1!$C$14</f>
        <v>-0.65300000000000002</v>
      </c>
      <c r="H25" s="9" t="str">
        <f>A25</f>
        <v>syls4</v>
      </c>
      <c r="I25" s="11">
        <f>B25+$G25</f>
        <v>88.117999999999995</v>
      </c>
    </row>
    <row r="28" spans="1:42" x14ac:dyDescent="0.25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>A28</f>
        <v>e_t</v>
      </c>
      <c r="I28" s="9" t="str">
        <f>B28</f>
        <v>predicted</v>
      </c>
    </row>
    <row r="29" spans="1:42" x14ac:dyDescent="0.25">
      <c r="A29" s="3" t="str">
        <f>RIGHT([9]nuc_e_t_b0!A2,5)</f>
        <v>syls1</v>
      </c>
      <c r="B29" s="3">
        <f>[9]nuc_e_t_b0!B2</f>
        <v>313.32600000000002</v>
      </c>
      <c r="C29" s="3">
        <f>[9]nuc_e_t_b0!C2</f>
        <v>257.54055368951401</v>
      </c>
      <c r="D29" s="3">
        <f>[9]nuc_e_t_b0!D2</f>
        <v>369.11181055409298</v>
      </c>
      <c r="E29">
        <f>[9]nuc_e_t_b0!E2</f>
        <v>23.911000000000001</v>
      </c>
      <c r="F29" s="9">
        <f t="shared" si="0"/>
        <v>55.785446310486009</v>
      </c>
      <c r="G29" s="3">
        <f>[10]nuc_e_t_b1!$C$15</f>
        <v>-47.808999999999997</v>
      </c>
      <c r="H29" s="9" t="str">
        <f>A29</f>
        <v>syls1</v>
      </c>
      <c r="I29" s="10">
        <f>B29+$G29</f>
        <v>265.51700000000005</v>
      </c>
    </row>
    <row r="30" spans="1:42" x14ac:dyDescent="0.25">
      <c r="A30" s="3" t="str">
        <f>RIGHT([9]nuc_e_t_b0!A3,5)</f>
        <v>syls2</v>
      </c>
      <c r="B30" s="3">
        <f>[9]nuc_e_t_b0!B3</f>
        <v>324.00099999999998</v>
      </c>
      <c r="C30" s="3">
        <f>[9]nuc_e_t_b0!C3</f>
        <v>228.918264406763</v>
      </c>
      <c r="D30" s="3">
        <f>[9]nuc_e_t_b0!D3</f>
        <v>419.08424601123897</v>
      </c>
      <c r="E30">
        <f>[9]nuc_e_t_b0!E3</f>
        <v>38.470999999999997</v>
      </c>
      <c r="F30" s="9">
        <f t="shared" si="0"/>
        <v>95.082735593236976</v>
      </c>
      <c r="G30" s="3">
        <f>[10]nuc_e_t_b1!$C$15</f>
        <v>-47.808999999999997</v>
      </c>
      <c r="H30" s="9" t="str">
        <f>A30</f>
        <v>syls2</v>
      </c>
      <c r="I30" s="10">
        <f>B30+$G30</f>
        <v>276.19200000000001</v>
      </c>
    </row>
    <row r="31" spans="1:42" x14ac:dyDescent="0.25">
      <c r="A31" s="3" t="str">
        <f>RIGHT([9]nuc_e_t_b0!A4,5)</f>
        <v>syls3</v>
      </c>
      <c r="B31" s="3">
        <f>[9]nuc_e_t_b0!B4</f>
        <v>430.53899999999999</v>
      </c>
      <c r="C31" s="3">
        <f>[9]nuc_e_t_b0!C4</f>
        <v>374.75498183993898</v>
      </c>
      <c r="D31" s="3">
        <f>[9]nuc_e_t_b0!D4</f>
        <v>486.32373960874997</v>
      </c>
      <c r="E31">
        <f>[9]nuc_e_t_b0!E4</f>
        <v>23.908999999999999</v>
      </c>
      <c r="F31" s="9">
        <f t="shared" si="0"/>
        <v>55.784018160061009</v>
      </c>
      <c r="G31" s="3">
        <f>[10]nuc_e_t_b1!$C$15</f>
        <v>-47.808999999999997</v>
      </c>
      <c r="H31" s="9" t="str">
        <f>A31</f>
        <v>syls3</v>
      </c>
      <c r="I31" s="10">
        <f>B31+$G31</f>
        <v>382.73</v>
      </c>
    </row>
    <row r="32" spans="1:42" x14ac:dyDescent="0.25">
      <c r="A32" s="3" t="str">
        <f>RIGHT([9]nuc_e_t_b0!A5,5)</f>
        <v>syls4</v>
      </c>
      <c r="B32" s="3">
        <f>[9]nuc_e_t_b0!B5</f>
        <v>572.20000000000005</v>
      </c>
      <c r="C32" s="3">
        <f>[9]nuc_e_t_b0!C5</f>
        <v>467.09688999746498</v>
      </c>
      <c r="D32" s="3">
        <f>[9]nuc_e_t_b0!D5</f>
        <v>677.30374955286197</v>
      </c>
      <c r="E32">
        <f>[9]nuc_e_t_b0!E5</f>
        <v>42.259</v>
      </c>
      <c r="F32" s="9">
        <f t="shared" si="0"/>
        <v>105.10311000253506</v>
      </c>
      <c r="G32" s="3">
        <f>[10]nuc_e_t_b1!$C$15</f>
        <v>-47.808999999999997</v>
      </c>
      <c r="H32" s="9" t="str">
        <f>A32</f>
        <v>syls4</v>
      </c>
      <c r="I32" s="10">
        <f>B32+$G32</f>
        <v>524.39100000000008</v>
      </c>
    </row>
    <row r="34" spans="1:25" x14ac:dyDescent="0.25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>A34</f>
        <v>e_f0</v>
      </c>
      <c r="I34" s="9" t="str">
        <f>B34</f>
        <v>predicted</v>
      </c>
      <c r="K34" s="4"/>
    </row>
    <row r="35" spans="1:25" x14ac:dyDescent="0.25">
      <c r="A35" s="2" t="str">
        <f>RIGHT([11]nuc_e_f0_b0!A2,5)</f>
        <v>syls1</v>
      </c>
      <c r="B35" s="2">
        <f>[11]nuc_e_f0_b0!B2</f>
        <v>86.602000000000004</v>
      </c>
      <c r="C35" s="2">
        <f>[11]nuc_e_f0_b0!C2</f>
        <v>83.157857744318605</v>
      </c>
      <c r="D35" s="2">
        <f>[11]nuc_e_f0_b0!D2</f>
        <v>90.0463715210972</v>
      </c>
      <c r="E35">
        <f>[11]nuc_e_f0_b0!E2</f>
        <v>1.58</v>
      </c>
      <c r="F35" s="9">
        <f t="shared" si="0"/>
        <v>3.444142255681399</v>
      </c>
      <c r="G35" s="2">
        <f>[12]nuc_e_f0_b1!$C$14</f>
        <v>-5.5940000000000003</v>
      </c>
      <c r="H35" s="9" t="str">
        <f>A35</f>
        <v>syls1</v>
      </c>
      <c r="I35" s="11">
        <f>B35+$G35</f>
        <v>81.00800000000001</v>
      </c>
      <c r="K35" s="8"/>
    </row>
    <row r="36" spans="1:25" x14ac:dyDescent="0.25">
      <c r="A36" s="2" t="str">
        <f>RIGHT([11]nuc_e_f0_b0!A3,5)</f>
        <v>syls2</v>
      </c>
      <c r="B36" s="2">
        <f>[11]nuc_e_f0_b0!B3</f>
        <v>87.965000000000003</v>
      </c>
      <c r="C36" s="2">
        <f>[11]nuc_e_f0_b0!C3</f>
        <v>84.284629006783405</v>
      </c>
      <c r="D36" s="2">
        <f>[11]nuc_e_f0_b0!D3</f>
        <v>91.645700665553207</v>
      </c>
      <c r="E36">
        <f>[11]nuc_e_f0_b0!E3</f>
        <v>1.7190000000000001</v>
      </c>
      <c r="F36" s="9">
        <f t="shared" si="0"/>
        <v>3.6803709932165987</v>
      </c>
      <c r="G36" s="2">
        <f>[12]nuc_e_f0_b1!$C$14</f>
        <v>-5.5940000000000003</v>
      </c>
      <c r="H36" s="9" t="str">
        <f>A36</f>
        <v>syls2</v>
      </c>
      <c r="I36" s="11">
        <f>B36+$G36</f>
        <v>82.371000000000009</v>
      </c>
      <c r="K36" s="7"/>
    </row>
    <row r="37" spans="1:25" x14ac:dyDescent="0.25">
      <c r="A37" s="2" t="str">
        <f>RIGHT([11]nuc_e_f0_b0!A4,5)</f>
        <v>syls3</v>
      </c>
      <c r="B37" s="2">
        <f>[11]nuc_e_f0_b0!B4</f>
        <v>88.271000000000001</v>
      </c>
      <c r="C37" s="2">
        <f>[11]nuc_e_f0_b0!C4</f>
        <v>84.826381649309795</v>
      </c>
      <c r="D37" s="2">
        <f>[11]nuc_e_f0_b0!D4</f>
        <v>91.714852448669802</v>
      </c>
      <c r="E37">
        <f>[11]nuc_e_f0_b0!E4</f>
        <v>1.579</v>
      </c>
      <c r="F37" s="9">
        <f t="shared" si="0"/>
        <v>3.4446183506902059</v>
      </c>
      <c r="G37" s="2">
        <f>[12]nuc_e_f0_b1!$C$14</f>
        <v>-5.5940000000000003</v>
      </c>
      <c r="H37" s="9" t="str">
        <f>A37</f>
        <v>syls3</v>
      </c>
      <c r="I37" s="11">
        <f>B37+$G37</f>
        <v>82.677000000000007</v>
      </c>
      <c r="K37" s="7"/>
    </row>
    <row r="38" spans="1:25" x14ac:dyDescent="0.25">
      <c r="A38" s="2" t="str">
        <f>RIGHT([11]nuc_e_f0_b0!A5,5)</f>
        <v>syls4</v>
      </c>
      <c r="B38" s="2">
        <f>[11]nuc_e_f0_b0!B5</f>
        <v>87.86</v>
      </c>
      <c r="C38" s="2">
        <f>[11]nuc_e_f0_b0!C5</f>
        <v>84.179705999273693</v>
      </c>
      <c r="D38" s="2">
        <f>[11]nuc_e_f0_b0!D5</f>
        <v>91.540877773314904</v>
      </c>
      <c r="E38">
        <f>[11]nuc_e_f0_b0!E5</f>
        <v>1.7190000000000001</v>
      </c>
      <c r="F38" s="9">
        <f t="shared" si="0"/>
        <v>3.6802940007263061</v>
      </c>
      <c r="G38" s="2">
        <f>[12]nuc_e_f0_b1!$C$14</f>
        <v>-5.5940000000000003</v>
      </c>
      <c r="H38" s="9" t="str">
        <f>A38</f>
        <v>syls4</v>
      </c>
      <c r="I38" s="11">
        <f>B38+$G38</f>
        <v>82.266000000000005</v>
      </c>
      <c r="K38" s="4"/>
      <c r="L38" s="4"/>
      <c r="M38" s="4"/>
      <c r="N38" s="4"/>
      <c r="O38" s="4"/>
      <c r="P38" s="4"/>
      <c r="Q38" s="4"/>
      <c r="R38" s="4"/>
      <c r="T38" s="4"/>
      <c r="U38" s="4"/>
      <c r="V38" s="4"/>
      <c r="W38" s="4"/>
      <c r="X38" s="4"/>
      <c r="Y38" s="4"/>
    </row>
    <row r="39" spans="1:25" x14ac:dyDescent="0.25">
      <c r="K39" s="4"/>
      <c r="L39" s="4"/>
      <c r="M39" s="4"/>
      <c r="N39" s="4"/>
      <c r="O39" s="6"/>
      <c r="P39" s="4"/>
      <c r="Q39" s="4"/>
      <c r="R39" s="4"/>
      <c r="T39" s="4"/>
      <c r="U39" s="4"/>
      <c r="V39" s="4"/>
      <c r="W39" s="4"/>
      <c r="X39" s="4"/>
      <c r="Y39" s="4"/>
    </row>
    <row r="40" spans="1:25" x14ac:dyDescent="0.25">
      <c r="K40" s="4"/>
      <c r="L40" s="4"/>
      <c r="M40" s="4"/>
      <c r="N40" s="4"/>
      <c r="O40" s="5"/>
      <c r="P40" s="4"/>
      <c r="Q40" s="4"/>
      <c r="R40" s="4"/>
      <c r="T40" s="4"/>
      <c r="U40" s="4"/>
      <c r="V40" s="4"/>
      <c r="W40" s="4"/>
      <c r="X40" s="4"/>
      <c r="Y4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5F69-373F-44A2-A665-2B3BA39B0604}">
  <dimension ref="A1:AP44"/>
  <sheetViews>
    <sheetView zoomScaleNormal="100" workbookViewId="0">
      <selection activeCell="I1" sqref="A1:I1048576"/>
    </sheetView>
  </sheetViews>
  <sheetFormatPr defaultRowHeight="15" x14ac:dyDescent="0.25"/>
  <cols>
    <col min="6" max="6" width="8.85546875" style="9"/>
    <col min="7" max="7" width="8.85546875" style="1"/>
    <col min="8" max="9" width="8.85546875" style="9"/>
  </cols>
  <sheetData>
    <row r="1" spans="1:9" x14ac:dyDescent="0.25">
      <c r="A1" t="s">
        <v>12</v>
      </c>
      <c r="G1" s="12" t="s">
        <v>13</v>
      </c>
    </row>
    <row r="2" spans="1:9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s="9" t="s">
        <v>10</v>
      </c>
      <c r="G2" s="1" t="s">
        <v>11</v>
      </c>
      <c r="H2" s="9" t="str">
        <f>A2</f>
        <v>l_t</v>
      </c>
      <c r="I2" s="9" t="str">
        <f>B2</f>
        <v>predicted</v>
      </c>
    </row>
    <row r="3" spans="1:9" x14ac:dyDescent="0.25">
      <c r="A3" s="3" t="str">
        <f>REPLACE([1]nuc_l_t_b0!A6,5,4,"")</f>
        <v>pre_0</v>
      </c>
      <c r="B3" s="3">
        <f>[1]nuc_l_t_b0!B6</f>
        <v>104.017</v>
      </c>
      <c r="C3" s="3">
        <f>[1]nuc_l_t_b0!C6</f>
        <v>59.7524834498102</v>
      </c>
      <c r="D3" s="3">
        <f>[1]nuc_l_t_b0!D6</f>
        <v>148.28214351790299</v>
      </c>
      <c r="E3">
        <f>[1]nuc_l_t_b0!E6</f>
        <v>17.908999999999999</v>
      </c>
      <c r="F3" s="9">
        <f>B3-C3</f>
        <v>44.264516550189796</v>
      </c>
      <c r="G3" s="3">
        <f>[2]nuc_l_t_b1!$C$14</f>
        <v>2.9590000000000001</v>
      </c>
      <c r="H3" s="9" t="str">
        <f>A3</f>
        <v>pre_0</v>
      </c>
      <c r="I3" s="10">
        <f>B3+$G3</f>
        <v>106.976</v>
      </c>
    </row>
    <row r="4" spans="1:9" x14ac:dyDescent="0.25">
      <c r="A4" s="3" t="str">
        <f>REPLACE([1]nuc_l_t_b0!A7,5,4,"")</f>
        <v>pre_1</v>
      </c>
      <c r="B4" s="3">
        <f>[1]nuc_l_t_b0!B7</f>
        <v>96.242000000000004</v>
      </c>
      <c r="C4" s="3">
        <f>[1]nuc_l_t_b0!C7</f>
        <v>51.977959985672697</v>
      </c>
      <c r="D4" s="3">
        <f>[1]nuc_l_t_b0!D7</f>
        <v>140.50700014130501</v>
      </c>
      <c r="E4">
        <f>[1]nuc_l_t_b0!E7</f>
        <v>17.917000000000002</v>
      </c>
      <c r="F4" s="9">
        <f>B4-C4</f>
        <v>44.264040014327307</v>
      </c>
      <c r="G4" s="3">
        <f>[2]nuc_l_t_b1!$C$14</f>
        <v>2.9590000000000001</v>
      </c>
      <c r="H4" s="9" t="str">
        <f>A4</f>
        <v>pre_1</v>
      </c>
      <c r="I4" s="10">
        <f>B4+$G4</f>
        <v>99.201000000000008</v>
      </c>
    </row>
    <row r="5" spans="1:9" x14ac:dyDescent="0.25">
      <c r="A5" s="3" t="str">
        <f>REPLACE([1]nuc_l_t_b0!A8,5,4,"")</f>
        <v>pre_2</v>
      </c>
      <c r="B5" s="3">
        <f>[1]nuc_l_t_b0!B8</f>
        <v>92.210999999999999</v>
      </c>
      <c r="C5" s="3">
        <f>[1]nuc_l_t_b0!C8</f>
        <v>25.164461015131199</v>
      </c>
      <c r="D5" s="3">
        <f>[1]nuc_l_t_b0!D8</f>
        <v>159.25668098390301</v>
      </c>
      <c r="E5">
        <f>[1]nuc_l_t_b0!E8</f>
        <v>26.552</v>
      </c>
      <c r="F5" s="9">
        <f>B5-C5</f>
        <v>67.046538984868803</v>
      </c>
      <c r="G5" s="3">
        <f>[2]nuc_l_t_b1!$C$14</f>
        <v>2.9590000000000001</v>
      </c>
      <c r="H5" s="9" t="str">
        <f>A5</f>
        <v>pre_2</v>
      </c>
      <c r="I5" s="10">
        <f>B5+$G5</f>
        <v>95.17</v>
      </c>
    </row>
    <row r="6" spans="1:9" x14ac:dyDescent="0.25">
      <c r="A6" s="3" t="str">
        <f>REPLACE([1]nuc_l_t_b0!A9,5,4,"")</f>
        <v>pre_3</v>
      </c>
      <c r="B6" s="3">
        <f>[1]nuc_l_t_b0!B9</f>
        <v>65.795000000000002</v>
      </c>
      <c r="C6" s="3">
        <f>[1]nuc_l_t_b0!C9</f>
        <v>-1.2515637123819201</v>
      </c>
      <c r="D6" s="3">
        <f>[1]nuc_l_t_b0!D9</f>
        <v>132.840767164743</v>
      </c>
      <c r="E6">
        <f>[1]nuc_l_t_b0!E9</f>
        <v>26.555</v>
      </c>
      <c r="F6" s="9">
        <f>B6-C6</f>
        <v>67.046563712381925</v>
      </c>
      <c r="G6" s="3">
        <f>[2]nuc_l_t_b1!$C$14</f>
        <v>2.9590000000000001</v>
      </c>
      <c r="H6" s="9" t="str">
        <f>A6</f>
        <v>pre_3</v>
      </c>
      <c r="I6" s="10">
        <f>B6+$G6</f>
        <v>68.754000000000005</v>
      </c>
    </row>
    <row r="8" spans="1:9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s="9" t="str">
        <f>F2</f>
        <v>CI diff</v>
      </c>
      <c r="G8" s="1" t="s">
        <v>11</v>
      </c>
      <c r="H8" s="9" t="str">
        <f t="shared" ref="H8:I11" si="0">A8</f>
        <v>l_f0</v>
      </c>
      <c r="I8" s="9" t="str">
        <f t="shared" si="0"/>
        <v>predicted</v>
      </c>
    </row>
    <row r="9" spans="1:9" x14ac:dyDescent="0.25">
      <c r="A9" t="str">
        <f>REPLACE([3]nuc_l_f0_b0!A6,5,4,"")</f>
        <v>pre_0</v>
      </c>
      <c r="B9" s="2">
        <f>[3]nuc_l_f0_b0!B6</f>
        <v>83.015000000000001</v>
      </c>
      <c r="C9" s="2">
        <f>[3]nuc_l_f0_b0!C6</f>
        <v>79.763822584031502</v>
      </c>
      <c r="D9" s="2">
        <f>[3]nuc_l_f0_b0!D6</f>
        <v>86.266726094633299</v>
      </c>
      <c r="E9">
        <f>[3]nuc_l_f0_b0!E6</f>
        <v>1.466</v>
      </c>
      <c r="F9" s="9">
        <f t="shared" ref="F9:F38" si="1">B9-C9</f>
        <v>3.251177415968499</v>
      </c>
      <c r="G9" s="2">
        <f>[4]nuc_l_f0_b1!$C$14</f>
        <v>-0.03</v>
      </c>
      <c r="H9" s="9" t="str">
        <f t="shared" si="0"/>
        <v>pre_0</v>
      </c>
      <c r="I9" s="11">
        <f>B9+$G9</f>
        <v>82.984999999999999</v>
      </c>
    </row>
    <row r="10" spans="1:9" x14ac:dyDescent="0.25">
      <c r="A10" t="str">
        <f>REPLACE([3]nuc_l_f0_b0!A7,5,4,"")</f>
        <v>pre_1</v>
      </c>
      <c r="B10" s="2">
        <f>[3]nuc_l_f0_b0!B7</f>
        <v>83.138999999999996</v>
      </c>
      <c r="C10" s="2">
        <f>[3]nuc_l_f0_b0!C7</f>
        <v>79.887549374532099</v>
      </c>
      <c r="D10" s="2">
        <f>[3]nuc_l_f0_b0!D7</f>
        <v>86.391216687931205</v>
      </c>
      <c r="E10">
        <f>[3]nuc_l_f0_b0!E7</f>
        <v>1.466</v>
      </c>
      <c r="F10" s="9">
        <f t="shared" si="1"/>
        <v>3.2514506254678963</v>
      </c>
      <c r="G10" s="2">
        <f>[4]nuc_l_f0_b1!$C$14</f>
        <v>-0.03</v>
      </c>
      <c r="H10" s="9" t="str">
        <f t="shared" si="0"/>
        <v>pre_1</v>
      </c>
      <c r="I10" s="11">
        <f>B10+$G10</f>
        <v>83.108999999999995</v>
      </c>
    </row>
    <row r="11" spans="1:9" x14ac:dyDescent="0.25">
      <c r="A11" t="str">
        <f>REPLACE([3]nuc_l_f0_b0!A8,5,4,"")</f>
        <v>pre_2</v>
      </c>
      <c r="B11" s="2">
        <f>[3]nuc_l_f0_b0!B8</f>
        <v>82.869</v>
      </c>
      <c r="C11" s="2">
        <f>[3]nuc_l_f0_b0!C8</f>
        <v>79.5955194333458</v>
      </c>
      <c r="D11" s="2">
        <f>[3]nuc_l_f0_b0!D8</f>
        <v>86.141528301310501</v>
      </c>
      <c r="E11">
        <f>[3]nuc_l_f0_b0!E8</f>
        <v>1.4850000000000001</v>
      </c>
      <c r="F11" s="9">
        <f t="shared" si="1"/>
        <v>3.2734805666542002</v>
      </c>
      <c r="G11" s="2">
        <f>[4]nuc_l_f0_b1!$C$14</f>
        <v>-0.03</v>
      </c>
      <c r="H11" s="9" t="str">
        <f t="shared" si="0"/>
        <v>pre_2</v>
      </c>
      <c r="I11" s="11">
        <f>B11+$G11</f>
        <v>82.838999999999999</v>
      </c>
    </row>
    <row r="12" spans="1:9" x14ac:dyDescent="0.25">
      <c r="A12" t="str">
        <f>REPLACE([3]nuc_l_f0_b0!A9,5,4,"")</f>
        <v>pre_3</v>
      </c>
      <c r="B12" s="2">
        <f>[3]nuc_l_f0_b0!B9</f>
        <v>82.87</v>
      </c>
      <c r="C12" s="2">
        <f>[3]nuc_l_f0_b0!C9</f>
        <v>79.596839727739805</v>
      </c>
      <c r="D12" s="2">
        <f>[3]nuc_l_f0_b0!D9</f>
        <v>86.142879573751301</v>
      </c>
      <c r="E12">
        <f>[3]nuc_l_f0_b0!E9</f>
        <v>1.4850000000000001</v>
      </c>
      <c r="F12" s="9">
        <f t="shared" si="1"/>
        <v>3.2731602722601991</v>
      </c>
      <c r="G12" s="2">
        <f>[4]nuc_l_f0_b1!$C$14</f>
        <v>-0.03</v>
      </c>
      <c r="H12" s="9" t="str">
        <f>A12</f>
        <v>pre_3</v>
      </c>
      <c r="I12" s="11">
        <f>B12+$G12</f>
        <v>82.84</v>
      </c>
    </row>
    <row r="15" spans="1:9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s="9" t="str">
        <f>F2</f>
        <v>CI diff</v>
      </c>
      <c r="G15" s="1" t="s">
        <v>11</v>
      </c>
      <c r="H15" s="9" t="str">
        <f t="shared" ref="H15:I18" si="2">A15</f>
        <v>h_t</v>
      </c>
      <c r="I15" s="9" t="str">
        <f t="shared" si="2"/>
        <v>predicted</v>
      </c>
    </row>
    <row r="16" spans="1:9" x14ac:dyDescent="0.25">
      <c r="A16" t="str">
        <f>REPLACE([5]nuc_h_t_b0!A6,5,4,"")</f>
        <v>pre_0</v>
      </c>
      <c r="B16" s="3">
        <f>[5]nuc_h_t_b0!B6</f>
        <v>282.10899999999998</v>
      </c>
      <c r="C16" s="3">
        <f>[5]nuc_h_t_b0!C6</f>
        <v>237.471706153166</v>
      </c>
      <c r="D16" s="3">
        <f>[5]nuc_h_t_b0!D6</f>
        <v>326.74555932667499</v>
      </c>
      <c r="E16">
        <f>[5]nuc_h_t_b0!E6</f>
        <v>19.975999999999999</v>
      </c>
      <c r="F16" s="9">
        <f t="shared" si="1"/>
        <v>44.637293846833984</v>
      </c>
      <c r="G16" s="3">
        <f>[6]nuc_h_t_b1!$C$14</f>
        <v>-45.677</v>
      </c>
      <c r="H16" s="9" t="str">
        <f t="shared" si="2"/>
        <v>pre_0</v>
      </c>
      <c r="I16" s="10">
        <f>B16+$G16</f>
        <v>236.43199999999999</v>
      </c>
    </row>
    <row r="17" spans="1:42" x14ac:dyDescent="0.25">
      <c r="A17" t="str">
        <f>REPLACE([5]nuc_h_t_b0!A7,5,4,"")</f>
        <v>pre_1</v>
      </c>
      <c r="B17" s="3">
        <f>[5]nuc_h_t_b0!B7</f>
        <v>247.81</v>
      </c>
      <c r="C17" s="3">
        <f>[5]nuc_h_t_b0!C7</f>
        <v>203.16360095931401</v>
      </c>
      <c r="D17" s="3">
        <f>[5]nuc_h_t_b0!D7</f>
        <v>292.45724106866601</v>
      </c>
      <c r="E17">
        <f>[5]nuc_h_t_b0!E7</f>
        <v>19.986999999999998</v>
      </c>
      <c r="F17" s="9">
        <f t="shared" si="1"/>
        <v>44.646399040685992</v>
      </c>
      <c r="G17" s="3">
        <f>[6]nuc_h_t_b1!$C$14</f>
        <v>-45.677</v>
      </c>
      <c r="H17" s="9" t="str">
        <f t="shared" si="2"/>
        <v>pre_1</v>
      </c>
      <c r="I17" s="10">
        <f>B17+$G17</f>
        <v>202.13300000000001</v>
      </c>
    </row>
    <row r="18" spans="1:42" x14ac:dyDescent="0.25">
      <c r="A18" t="str">
        <f>REPLACE([5]nuc_h_t_b0!A8,5,4,"")</f>
        <v>pre_2</v>
      </c>
      <c r="B18" s="3">
        <f>[5]nuc_h_t_b0!B8</f>
        <v>258.315</v>
      </c>
      <c r="C18" s="3">
        <f>[5]nuc_h_t_b0!C8</f>
        <v>193.694262027994</v>
      </c>
      <c r="D18" s="3">
        <f>[5]nuc_h_t_b0!D8</f>
        <v>322.93655775756901</v>
      </c>
      <c r="E18">
        <f>[5]nuc_h_t_b0!E8</f>
        <v>27.875</v>
      </c>
      <c r="F18" s="9">
        <f t="shared" si="1"/>
        <v>64.620737972005998</v>
      </c>
      <c r="G18" s="3">
        <f>[6]nuc_h_t_b1!$C$14</f>
        <v>-45.677</v>
      </c>
      <c r="H18" s="9" t="str">
        <f t="shared" si="2"/>
        <v>pre_2</v>
      </c>
      <c r="I18" s="10">
        <f>B18+$G18</f>
        <v>212.63800000000001</v>
      </c>
    </row>
    <row r="19" spans="1:42" x14ac:dyDescent="0.25">
      <c r="A19" t="str">
        <f>REPLACE([5]nuc_h_t_b0!A9,5,4,"")</f>
        <v>pre_3</v>
      </c>
      <c r="B19" s="3">
        <f>[5]nuc_h_t_b0!B9</f>
        <v>225.63900000000001</v>
      </c>
      <c r="C19" s="3">
        <f>[5]nuc_h_t_b0!C9</f>
        <v>161.00926760281601</v>
      </c>
      <c r="D19" s="3">
        <f>[5]nuc_h_t_b0!D9</f>
        <v>290.269176996542</v>
      </c>
      <c r="E19">
        <f>[5]nuc_h_t_b0!E9</f>
        <v>27.876999999999999</v>
      </c>
      <c r="F19" s="9">
        <f t="shared" si="1"/>
        <v>64.629732397184</v>
      </c>
      <c r="G19" s="3">
        <f>[6]nuc_h_t_b1!$C$14</f>
        <v>-45.677</v>
      </c>
      <c r="H19" s="9" t="str">
        <f>A19</f>
        <v>pre_3</v>
      </c>
      <c r="I19" s="10">
        <f>B19+$G19</f>
        <v>179.96200000000002</v>
      </c>
    </row>
    <row r="21" spans="1:42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s="9" t="str">
        <f>F2</f>
        <v>CI diff</v>
      </c>
      <c r="G21" s="1" t="s">
        <v>11</v>
      </c>
      <c r="H21" s="9" t="str">
        <f t="shared" ref="H21:I24" si="3">A21</f>
        <v>h_f0</v>
      </c>
      <c r="I21" s="9" t="str">
        <f t="shared" si="3"/>
        <v>predicted</v>
      </c>
      <c r="AP21" t="s">
        <v>14</v>
      </c>
    </row>
    <row r="22" spans="1:42" x14ac:dyDescent="0.25">
      <c r="A22" t="str">
        <f>REPLACE([7]nuc_h_f0_b0!A6,5,4,"")</f>
        <v>pre_0</v>
      </c>
      <c r="B22" s="2">
        <f>[7]nuc_h_f0_b0!B6</f>
        <v>87.203000000000003</v>
      </c>
      <c r="C22" s="2">
        <f>[7]nuc_h_f0_b0!C6</f>
        <v>83.893223749896407</v>
      </c>
      <c r="D22" s="2">
        <f>[7]nuc_h_f0_b0!D6</f>
        <v>90.511968222098503</v>
      </c>
      <c r="E22">
        <f>[7]nuc_h_f0_b0!E6</f>
        <v>1.5429999999999999</v>
      </c>
      <c r="F22" s="9">
        <f t="shared" si="1"/>
        <v>3.3097762501035959</v>
      </c>
      <c r="G22" s="2">
        <f>[8]nuc_h_f0_b1!$C$14</f>
        <v>-0.65300000000000002</v>
      </c>
      <c r="H22" s="9" t="str">
        <f t="shared" si="3"/>
        <v>pre_0</v>
      </c>
      <c r="I22" s="11">
        <f>B22+$G22</f>
        <v>86.55</v>
      </c>
    </row>
    <row r="23" spans="1:42" x14ac:dyDescent="0.25">
      <c r="A23" t="str">
        <f>REPLACE([7]nuc_h_f0_b0!A7,5,4,"")</f>
        <v>pre_1</v>
      </c>
      <c r="B23" s="2">
        <f>[7]nuc_h_f0_b0!B7</f>
        <v>88.031000000000006</v>
      </c>
      <c r="C23" s="2">
        <f>[7]nuc_h_f0_b0!C7</f>
        <v>84.720556741174804</v>
      </c>
      <c r="D23" s="2">
        <f>[7]nuc_h_f0_b0!D7</f>
        <v>91.340951018558599</v>
      </c>
      <c r="E23">
        <f>[7]nuc_h_f0_b0!E7</f>
        <v>1.544</v>
      </c>
      <c r="F23" s="9">
        <f t="shared" si="1"/>
        <v>3.3104432588252024</v>
      </c>
      <c r="G23" s="2">
        <f>[8]nuc_h_f0_b1!$C$14</f>
        <v>-0.65300000000000002</v>
      </c>
      <c r="H23" s="9" t="str">
        <f t="shared" si="3"/>
        <v>pre_1</v>
      </c>
      <c r="I23" s="11">
        <f>B23+$G23</f>
        <v>87.378</v>
      </c>
    </row>
    <row r="24" spans="1:42" x14ac:dyDescent="0.25">
      <c r="A24" t="str">
        <f>REPLACE([7]nuc_h_f0_b0!A8,5,4,"")</f>
        <v>pre_2</v>
      </c>
      <c r="B24" s="2">
        <f>[7]nuc_h_f0_b0!B8</f>
        <v>88.322000000000003</v>
      </c>
      <c r="C24" s="2">
        <f>[7]nuc_h_f0_b0!C8</f>
        <v>84.658187208315695</v>
      </c>
      <c r="D24" s="2">
        <f>[7]nuc_h_f0_b0!D8</f>
        <v>91.986086684520203</v>
      </c>
      <c r="E24">
        <f>[7]nuc_h_f0_b0!E8</f>
        <v>1.7270000000000001</v>
      </c>
      <c r="F24" s="9">
        <f t="shared" si="1"/>
        <v>3.6638127916843075</v>
      </c>
      <c r="G24" s="2">
        <f>[8]nuc_h_f0_b1!$C$14</f>
        <v>-0.65300000000000002</v>
      </c>
      <c r="H24" s="9" t="str">
        <f t="shared" si="3"/>
        <v>pre_2</v>
      </c>
      <c r="I24" s="11">
        <f>B24+$G24</f>
        <v>87.668999999999997</v>
      </c>
    </row>
    <row r="25" spans="1:42" x14ac:dyDescent="0.25">
      <c r="A25" t="str">
        <f>REPLACE([7]nuc_h_f0_b0!A9,5,4,"")</f>
        <v>pre_3</v>
      </c>
      <c r="B25" s="2">
        <f>[7]nuc_h_f0_b0!B9</f>
        <v>88.221999999999994</v>
      </c>
      <c r="C25" s="2">
        <f>[7]nuc_h_f0_b0!C9</f>
        <v>84.5578481250853</v>
      </c>
      <c r="D25" s="2">
        <f>[7]nuc_h_f0_b0!D9</f>
        <v>91.886293699880994</v>
      </c>
      <c r="E25">
        <f>[7]nuc_h_f0_b0!E9</f>
        <v>1.7270000000000001</v>
      </c>
      <c r="F25" s="9">
        <f t="shared" si="1"/>
        <v>3.664151874914694</v>
      </c>
      <c r="G25" s="2">
        <f>[8]nuc_h_f0_b1!$C$14</f>
        <v>-0.65300000000000002</v>
      </c>
      <c r="H25" s="9" t="str">
        <f>A25</f>
        <v>pre_3</v>
      </c>
      <c r="I25" s="11">
        <f>B25+$G25</f>
        <v>87.568999999999988</v>
      </c>
    </row>
    <row r="28" spans="1:42" x14ac:dyDescent="0.25">
      <c r="A28" t="s">
        <v>4</v>
      </c>
      <c r="B28" t="str">
        <f>B2</f>
        <v>predicted</v>
      </c>
      <c r="C28" t="str">
        <f>C2</f>
        <v>conf.low</v>
      </c>
      <c r="D28" t="str">
        <f>D2</f>
        <v>conf.high</v>
      </c>
      <c r="E28" t="str">
        <f>E2</f>
        <v>std.error</v>
      </c>
      <c r="F28" s="9" t="str">
        <f>F2</f>
        <v>CI diff</v>
      </c>
      <c r="G28" s="1" t="s">
        <v>11</v>
      </c>
      <c r="H28" s="9" t="str">
        <f t="shared" ref="H28:I31" si="4">A28</f>
        <v>e_t</v>
      </c>
      <c r="I28" s="9" t="str">
        <f t="shared" si="4"/>
        <v>predicted</v>
      </c>
    </row>
    <row r="29" spans="1:42" x14ac:dyDescent="0.25">
      <c r="A29" t="str">
        <f>REPLACE([9]nuc_e_t_b0!A6,5,4,"")</f>
        <v>pre_0</v>
      </c>
      <c r="B29" s="3">
        <f>[9]nuc_e_t_b0!B6</f>
        <v>313.32600000000002</v>
      </c>
      <c r="C29" s="3">
        <f>[9]nuc_e_t_b0!C6</f>
        <v>257.54055368951401</v>
      </c>
      <c r="D29" s="3">
        <f>[9]nuc_e_t_b0!D6</f>
        <v>369.11181055409298</v>
      </c>
      <c r="E29">
        <f>[9]nuc_e_t_b0!E6</f>
        <v>23.911000000000001</v>
      </c>
      <c r="F29" s="9">
        <f t="shared" si="1"/>
        <v>55.785446310486009</v>
      </c>
      <c r="G29" s="3">
        <f>[10]nuc_e_t_b1!$C$15</f>
        <v>-47.808999999999997</v>
      </c>
      <c r="H29" s="9" t="str">
        <f t="shared" si="4"/>
        <v>pre_0</v>
      </c>
      <c r="I29" s="10">
        <f>B29+$G29</f>
        <v>265.51700000000005</v>
      </c>
    </row>
    <row r="30" spans="1:42" x14ac:dyDescent="0.25">
      <c r="A30" t="str">
        <f>REPLACE([9]nuc_e_t_b0!A7,5,4,"")</f>
        <v>pre_1</v>
      </c>
      <c r="B30" s="3">
        <f>[9]nuc_e_t_b0!B7</f>
        <v>282.40600000000001</v>
      </c>
      <c r="C30" s="3">
        <f>[9]nuc_e_t_b0!C7</f>
        <v>226.612112090957</v>
      </c>
      <c r="D30" s="3">
        <f>[9]nuc_e_t_b0!D7</f>
        <v>338.20067261189001</v>
      </c>
      <c r="E30">
        <f>[9]nuc_e_t_b0!E7</f>
        <v>23.925999999999998</v>
      </c>
      <c r="F30" s="9">
        <f t="shared" si="1"/>
        <v>55.793887909043008</v>
      </c>
      <c r="G30" s="3">
        <f>[10]nuc_e_t_b1!$C$15</f>
        <v>-47.808999999999997</v>
      </c>
      <c r="H30" s="9" t="str">
        <f t="shared" si="4"/>
        <v>pre_1</v>
      </c>
      <c r="I30" s="10">
        <f>B30+$G30</f>
        <v>234.59700000000001</v>
      </c>
    </row>
    <row r="31" spans="1:42" x14ac:dyDescent="0.25">
      <c r="A31" t="str">
        <f>REPLACE([9]nuc_e_t_b0!A8,5,4,"")</f>
        <v>pre_2</v>
      </c>
      <c r="B31" s="3">
        <f>[9]nuc_e_t_b0!B8</f>
        <v>308.87</v>
      </c>
      <c r="C31" s="3">
        <f>[9]nuc_e_t_b0!C8</f>
        <v>225.68707163870101</v>
      </c>
      <c r="D31" s="3">
        <f>[9]nuc_e_t_b0!D8</f>
        <v>392.05230006507901</v>
      </c>
      <c r="E31">
        <f>[9]nuc_e_t_b0!E8</f>
        <v>34.134</v>
      </c>
      <c r="F31" s="9">
        <f t="shared" si="1"/>
        <v>83.182928361298991</v>
      </c>
      <c r="G31" s="3">
        <f>[10]nuc_e_t_b1!$C$15</f>
        <v>-47.808999999999997</v>
      </c>
      <c r="H31" s="9" t="str">
        <f t="shared" si="4"/>
        <v>pre_2</v>
      </c>
      <c r="I31" s="10">
        <f>B31+$G31</f>
        <v>261.06100000000004</v>
      </c>
    </row>
    <row r="32" spans="1:42" x14ac:dyDescent="0.25">
      <c r="A32" t="str">
        <f>REPLACE([9]nuc_e_t_b0!A9,5,4,"")</f>
        <v>pre_3</v>
      </c>
      <c r="B32" s="3">
        <f>[9]nuc_e_t_b0!B9</f>
        <v>272.78500000000003</v>
      </c>
      <c r="C32" s="3">
        <f>[9]nuc_e_t_b0!C9</f>
        <v>189.60147089595199</v>
      </c>
      <c r="D32" s="3">
        <f>[9]nuc_e_t_b0!D9</f>
        <v>355.96871417197002</v>
      </c>
      <c r="E32">
        <f>[9]nuc_e_t_b0!E9</f>
        <v>34.137</v>
      </c>
      <c r="F32" s="9">
        <f t="shared" si="1"/>
        <v>83.183529104048034</v>
      </c>
      <c r="G32" s="3">
        <f>[10]nuc_e_t_b1!$C$15</f>
        <v>-47.808999999999997</v>
      </c>
      <c r="H32" s="9" t="str">
        <f>A32</f>
        <v>pre_3</v>
      </c>
      <c r="I32" s="10">
        <f>B32+$G32</f>
        <v>224.97600000000003</v>
      </c>
    </row>
    <row r="34" spans="1:25" x14ac:dyDescent="0.25">
      <c r="A34" t="s">
        <v>5</v>
      </c>
      <c r="B34" t="str">
        <f>B2</f>
        <v>predicted</v>
      </c>
      <c r="C34" t="str">
        <f>C2</f>
        <v>conf.low</v>
      </c>
      <c r="D34" t="str">
        <f>D2</f>
        <v>conf.high</v>
      </c>
      <c r="E34" t="str">
        <f>E2</f>
        <v>std.error</v>
      </c>
      <c r="F34" s="9" t="str">
        <f>F2</f>
        <v>CI diff</v>
      </c>
      <c r="G34" s="1" t="s">
        <v>11</v>
      </c>
      <c r="H34" s="9" t="str">
        <f t="shared" ref="H34:I37" si="5">A34</f>
        <v>e_f0</v>
      </c>
      <c r="I34" s="9" t="str">
        <f t="shared" si="5"/>
        <v>predicted</v>
      </c>
      <c r="K34" s="4"/>
    </row>
    <row r="35" spans="1:25" x14ac:dyDescent="0.25">
      <c r="A35" t="str">
        <f>REPLACE([11]nuc_e_f0_b0!A6,5,4,"")</f>
        <v>pre_0</v>
      </c>
      <c r="B35" s="2">
        <f>[11]nuc_e_f0_b0!B6</f>
        <v>86.602000000000004</v>
      </c>
      <c r="C35" s="2">
        <f>[11]nuc_e_f0_b0!C6</f>
        <v>83.157857744318605</v>
      </c>
      <c r="D35" s="2">
        <f>[11]nuc_e_f0_b0!D6</f>
        <v>90.0463715210972</v>
      </c>
      <c r="E35">
        <f>[11]nuc_e_f0_b0!E6</f>
        <v>1.58</v>
      </c>
      <c r="F35" s="9">
        <f t="shared" si="1"/>
        <v>3.444142255681399</v>
      </c>
      <c r="G35" s="2">
        <f>[12]nuc_e_f0_b1!$C$14</f>
        <v>-5.5940000000000003</v>
      </c>
      <c r="H35" s="9" t="str">
        <f t="shared" si="5"/>
        <v>pre_0</v>
      </c>
      <c r="I35" s="11">
        <f>B35+$G35</f>
        <v>81.00800000000001</v>
      </c>
      <c r="K35" s="8"/>
    </row>
    <row r="36" spans="1:25" x14ac:dyDescent="0.25">
      <c r="A36" t="str">
        <f>REPLACE([11]nuc_e_f0_b0!A7,5,4,"")</f>
        <v>pre_1</v>
      </c>
      <c r="B36" s="2">
        <f>[11]nuc_e_f0_b0!B7</f>
        <v>87.108000000000004</v>
      </c>
      <c r="C36" s="2">
        <f>[11]nuc_e_f0_b0!C7</f>
        <v>83.662751108630601</v>
      </c>
      <c r="D36" s="2">
        <f>[11]nuc_e_f0_b0!D7</f>
        <v>90.552966666150297</v>
      </c>
      <c r="E36">
        <f>[11]nuc_e_f0_b0!E7</f>
        <v>1.58</v>
      </c>
      <c r="F36" s="9">
        <f t="shared" si="1"/>
        <v>3.4452488913694026</v>
      </c>
      <c r="G36" s="2">
        <f>[12]nuc_e_f0_b1!$C$14</f>
        <v>-5.5940000000000003</v>
      </c>
      <c r="H36" s="9" t="str">
        <f t="shared" si="5"/>
        <v>pre_1</v>
      </c>
      <c r="I36" s="11">
        <f>B36+$G36</f>
        <v>81.51400000000001</v>
      </c>
      <c r="K36" s="7"/>
    </row>
    <row r="37" spans="1:25" x14ac:dyDescent="0.25">
      <c r="A37" t="str">
        <f>REPLACE([11]nuc_e_f0_b0!A8,5,4,"")</f>
        <v>pre_2</v>
      </c>
      <c r="B37" s="2">
        <f>[11]nuc_e_f0_b0!B8</f>
        <v>86.805000000000007</v>
      </c>
      <c r="C37" s="2">
        <f>[11]nuc_e_f0_b0!C8</f>
        <v>83.2095949803238</v>
      </c>
      <c r="D37" s="2">
        <f>[11]nuc_e_f0_b0!D8</f>
        <v>90.401018560517798</v>
      </c>
      <c r="E37">
        <f>[11]nuc_e_f0_b0!E8</f>
        <v>1.675</v>
      </c>
      <c r="F37" s="9">
        <f t="shared" si="1"/>
        <v>3.5954050196762068</v>
      </c>
      <c r="G37" s="2">
        <f>[12]nuc_e_f0_b1!$C$14</f>
        <v>-5.5940000000000003</v>
      </c>
      <c r="H37" s="9" t="str">
        <f t="shared" si="5"/>
        <v>pre_2</v>
      </c>
      <c r="I37" s="11">
        <f>B37+$G37</f>
        <v>81.211000000000013</v>
      </c>
      <c r="K37" s="7"/>
    </row>
    <row r="38" spans="1:25" x14ac:dyDescent="0.25">
      <c r="A38" t="str">
        <f>REPLACE([11]nuc_e_f0_b0!A9,5,4,"")</f>
        <v>pre_3</v>
      </c>
      <c r="B38" s="2">
        <f>[11]nuc_e_f0_b0!B9</f>
        <v>86.796999999999997</v>
      </c>
      <c r="C38" s="2">
        <f>[11]nuc_e_f0_b0!C9</f>
        <v>83.201522397340398</v>
      </c>
      <c r="D38" s="2">
        <f>[11]nuc_e_f0_b0!D9</f>
        <v>90.393465082151494</v>
      </c>
      <c r="E38">
        <f>[11]nuc_e_f0_b0!E9</f>
        <v>1.675</v>
      </c>
      <c r="F38" s="9">
        <f t="shared" si="1"/>
        <v>3.5954776026595994</v>
      </c>
      <c r="G38" s="2">
        <f>[12]nuc_e_f0_b1!$C$14</f>
        <v>-5.5940000000000003</v>
      </c>
      <c r="H38" s="9" t="str">
        <f>A38</f>
        <v>pre_3</v>
      </c>
      <c r="I38" s="11">
        <f>B38+$G38</f>
        <v>81.203000000000003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25">
      <c r="K39" s="4"/>
      <c r="L39" s="4"/>
      <c r="M39" s="4"/>
      <c r="N39" s="4"/>
      <c r="O39" s="6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25">
      <c r="K40" s="4"/>
      <c r="L40" s="4"/>
      <c r="M40" s="4"/>
      <c r="N40" s="4"/>
      <c r="O40" s="5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25">
      <c r="I41" s="9" t="s">
        <v>15</v>
      </c>
    </row>
    <row r="42" spans="1:25" x14ac:dyDescent="0.25">
      <c r="I42" s="9" t="s">
        <v>17</v>
      </c>
    </row>
    <row r="43" spans="1:25" x14ac:dyDescent="0.25">
      <c r="I43" s="9" t="s">
        <v>18</v>
      </c>
    </row>
    <row r="44" spans="1:25" x14ac:dyDescent="0.25">
      <c r="I44" s="9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FA70-B8BE-49C5-9F6E-7E44BDE296A5}">
  <dimension ref="A1:T49"/>
  <sheetViews>
    <sheetView zoomScale="115" zoomScaleNormal="115" workbookViewId="0">
      <selection activeCell="A5" sqref="A5"/>
    </sheetView>
  </sheetViews>
  <sheetFormatPr defaultRowHeight="15" x14ac:dyDescent="0.25"/>
  <cols>
    <col min="4" max="4" width="11" bestFit="1" customWidth="1"/>
  </cols>
  <sheetData>
    <row r="1" spans="1:20" x14ac:dyDescent="0.25">
      <c r="A1" t="s">
        <v>19</v>
      </c>
      <c r="B1" t="str">
        <f>B7</f>
        <v>predicted</v>
      </c>
      <c r="C1" t="str">
        <f>C7</f>
        <v>conf.low</v>
      </c>
      <c r="D1" t="str">
        <f>D7</f>
        <v>conf.high</v>
      </c>
      <c r="E1" t="str">
        <f>E7</f>
        <v>std.error</v>
      </c>
      <c r="F1" t="str">
        <f>F7</f>
        <v>CI diff</v>
      </c>
    </row>
    <row r="2" spans="1:20" x14ac:dyDescent="0.25">
      <c r="A2" s="3" t="str">
        <f>RIGHT([13]nuc_f0_exc_b0!A2,5)</f>
        <v>syls1</v>
      </c>
      <c r="B2" s="1">
        <f>[13]nuc_f0_exc_b0!B2</f>
        <v>4.1630000000000003</v>
      </c>
      <c r="C2" s="1">
        <f>[13]nuc_f0_exc_b0!C2</f>
        <v>2.4128418911201299</v>
      </c>
      <c r="D2" s="1">
        <f>[13]nuc_f0_exc_b0!D2</f>
        <v>5.9138523360805699</v>
      </c>
      <c r="E2" s="1">
        <f>[13]nuc_f0_exc_b0!E2</f>
        <v>0.753</v>
      </c>
      <c r="F2" s="13">
        <f t="shared" ref="F2:F5" si="0">B2-C2</f>
        <v>1.7501581088798703</v>
      </c>
      <c r="R2" s="37" t="s">
        <v>24</v>
      </c>
      <c r="S2" s="38"/>
      <c r="T2" s="15"/>
    </row>
    <row r="3" spans="1:20" x14ac:dyDescent="0.25">
      <c r="A3" s="3" t="str">
        <f>RIGHT([13]nuc_f0_exc_b0!A3,5)</f>
        <v>syls2</v>
      </c>
      <c r="B3" s="1">
        <f>[13]nuc_f0_exc_b0!B3</f>
        <v>4.5659999999999998</v>
      </c>
      <c r="C3" s="1">
        <f>[13]nuc_f0_exc_b0!C3</f>
        <v>1.57007415012632</v>
      </c>
      <c r="D3" s="1">
        <f>[13]nuc_f0_exc_b0!D3</f>
        <v>7.56256913422766</v>
      </c>
      <c r="E3" s="1">
        <f>[13]nuc_f0_exc_b0!E3</f>
        <v>1.2410000000000001</v>
      </c>
      <c r="F3" s="13">
        <f t="shared" si="0"/>
        <v>2.9959258498736796</v>
      </c>
      <c r="R3" s="39" t="s">
        <v>25</v>
      </c>
      <c r="S3" s="40"/>
      <c r="T3" s="15"/>
    </row>
    <row r="4" spans="1:20" x14ac:dyDescent="0.25">
      <c r="A4" s="3" t="str">
        <f>RIGHT([13]nuc_f0_exc_b0!A4,5)</f>
        <v>syls3</v>
      </c>
      <c r="B4" s="1">
        <f>[13]nuc_f0_exc_b0!B4</f>
        <v>6.08</v>
      </c>
      <c r="C4" s="1">
        <f>[13]nuc_f0_exc_b0!C4</f>
        <v>4.3291122790255203</v>
      </c>
      <c r="D4" s="1">
        <f>[13]nuc_f0_exc_b0!D4</f>
        <v>7.8301083595901799</v>
      </c>
      <c r="E4" s="1">
        <f>[13]nuc_f0_exc_b0!E4</f>
        <v>0.753</v>
      </c>
      <c r="F4" s="13">
        <f t="shared" si="0"/>
        <v>1.7508877209744798</v>
      </c>
      <c r="R4" s="15"/>
    </row>
    <row r="5" spans="1:20" x14ac:dyDescent="0.25">
      <c r="A5" s="3" t="str">
        <f>RIGHT([13]nuc_f0_exc_b0!A5,5)</f>
        <v>syls4</v>
      </c>
      <c r="B5" s="1">
        <f>[13]nuc_f0_exc_b0!B5</f>
        <v>5.1120000000000001</v>
      </c>
      <c r="C5" s="1">
        <f>[13]nuc_f0_exc_b0!C5</f>
        <v>2.1159174332932098</v>
      </c>
      <c r="D5" s="1">
        <f>[13]nuc_f0_exc_b0!D5</f>
        <v>8.1085807122551508</v>
      </c>
      <c r="E5" s="1">
        <f>[13]nuc_f0_exc_b0!E5</f>
        <v>1.242</v>
      </c>
      <c r="F5" s="13">
        <f t="shared" si="0"/>
        <v>2.9960825667067903</v>
      </c>
    </row>
    <row r="6" spans="1:20" x14ac:dyDescent="0.25">
      <c r="B6" s="1"/>
      <c r="C6" s="1"/>
      <c r="D6" s="1"/>
      <c r="E6" s="1"/>
      <c r="F6" s="13"/>
    </row>
    <row r="7" spans="1:20" x14ac:dyDescent="0.25">
      <c r="A7" t="s">
        <v>20</v>
      </c>
      <c r="B7" s="1" t="str">
        <f>'nuc foot'!B34</f>
        <v>predicted</v>
      </c>
      <c r="C7" s="1" t="str">
        <f>'nuc foot'!C34</f>
        <v>conf.low</v>
      </c>
      <c r="D7" s="1" t="str">
        <f>'nuc foot'!D34</f>
        <v>conf.high</v>
      </c>
      <c r="E7" s="1" t="str">
        <f>'nuc foot'!E34</f>
        <v>std.error</v>
      </c>
      <c r="F7" t="str">
        <f>'nuc foot'!F34</f>
        <v>CI diff</v>
      </c>
    </row>
    <row r="8" spans="1:20" x14ac:dyDescent="0.25">
      <c r="A8" s="3" t="str">
        <f>RIGHT([14]nuc_lh_slope_b0!A2,5)</f>
        <v>syls1</v>
      </c>
      <c r="B8" s="1">
        <f>[14]nuc_lh_slope_b0!B2</f>
        <v>3.3220000000000001</v>
      </c>
      <c r="C8" s="1">
        <f>[14]nuc_lh_slope_b0!C2</f>
        <v>3.0267743086411198</v>
      </c>
      <c r="D8" s="1">
        <f>[14]nuc_lh_slope_b0!D2</f>
        <v>3.6177847036111102</v>
      </c>
      <c r="E8" s="1">
        <f>[14]nuc_lh_slope_b0!E2</f>
        <v>0.13200000000000001</v>
      </c>
      <c r="F8" s="13">
        <f>B8-C8</f>
        <v>0.29522569135888022</v>
      </c>
    </row>
    <row r="9" spans="1:20" x14ac:dyDescent="0.25">
      <c r="A9" s="3" t="str">
        <f>RIGHT([14]nuc_lh_slope_b0!A3,5)</f>
        <v>syls2</v>
      </c>
      <c r="B9" s="1">
        <f>[14]nuc_lh_slope_b0!B3</f>
        <v>3.2989999999999999</v>
      </c>
      <c r="C9" s="1">
        <f>[14]nuc_lh_slope_b0!C3</f>
        <v>2.8081247478159699</v>
      </c>
      <c r="D9" s="1">
        <f>[14]nuc_lh_slope_b0!D3</f>
        <v>3.78972770634011</v>
      </c>
      <c r="E9" s="1">
        <f>[14]nuc_lh_slope_b0!E3</f>
        <v>0.20699999999999999</v>
      </c>
      <c r="F9" s="13">
        <f>B9-C9</f>
        <v>0.49087525218403005</v>
      </c>
    </row>
    <row r="10" spans="1:20" x14ac:dyDescent="0.25">
      <c r="A10" s="3" t="str">
        <f>RIGHT([14]nuc_lh_slope_b0!A4,5)</f>
        <v>syls3</v>
      </c>
      <c r="B10" s="1">
        <f>[14]nuc_lh_slope_b0!B4</f>
        <v>3.1930000000000001</v>
      </c>
      <c r="C10" s="1">
        <f>[14]nuc_lh_slope_b0!C4</f>
        <v>2.8973536996376401</v>
      </c>
      <c r="D10" s="1">
        <f>[14]nuc_lh_slope_b0!D4</f>
        <v>3.4882708086408698</v>
      </c>
      <c r="E10" s="1">
        <f>[14]nuc_lh_slope_b0!E4</f>
        <v>0.13200000000000001</v>
      </c>
      <c r="F10" s="13">
        <f>B10-C10</f>
        <v>0.29564630036235995</v>
      </c>
    </row>
    <row r="11" spans="1:20" x14ac:dyDescent="0.25">
      <c r="A11" s="3" t="str">
        <f>RIGHT([14]nuc_lh_slope_b0!A5,5)</f>
        <v>syls4</v>
      </c>
      <c r="B11" s="1">
        <f>[14]nuc_lh_slope_b0!B5</f>
        <v>2.5470000000000002</v>
      </c>
      <c r="C11" s="1">
        <f>[14]nuc_lh_slope_b0!C5</f>
        <v>2.0564958763876899</v>
      </c>
      <c r="D11" s="1">
        <f>[14]nuc_lh_slope_b0!D5</f>
        <v>3.0381038909685101</v>
      </c>
      <c r="E11" s="1">
        <f>[14]nuc_lh_slope_b0!E5</f>
        <v>0.20699999999999999</v>
      </c>
      <c r="F11" s="13">
        <f>B11-C11</f>
        <v>0.49050412361231022</v>
      </c>
    </row>
    <row r="13" spans="1:20" x14ac:dyDescent="0.25">
      <c r="B13" t="s">
        <v>21</v>
      </c>
      <c r="C13" t="s">
        <v>22</v>
      </c>
    </row>
    <row r="14" spans="1:20" x14ac:dyDescent="0.25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25">
      <c r="A15" s="3" t="str">
        <f>A8</f>
        <v>syls1</v>
      </c>
      <c r="B15">
        <v>1</v>
      </c>
      <c r="C15" s="1">
        <f>B8</f>
        <v>3.3220000000000001</v>
      </c>
      <c r="D15" s="2">
        <f>EXP(C15)</f>
        <v>27.71572661723382</v>
      </c>
    </row>
    <row r="16" spans="1:20" x14ac:dyDescent="0.25">
      <c r="A16" s="3" t="str">
        <f>A17</f>
        <v>syls2</v>
      </c>
      <c r="B16">
        <v>0</v>
      </c>
      <c r="C16" s="1">
        <v>0</v>
      </c>
      <c r="D16" s="2">
        <f t="shared" ref="D16" si="1">C16</f>
        <v>0</v>
      </c>
      <c r="E16" s="2"/>
      <c r="F16" s="13"/>
    </row>
    <row r="17" spans="1:20" x14ac:dyDescent="0.25">
      <c r="A17" s="3" t="str">
        <f>A9</f>
        <v>syls2</v>
      </c>
      <c r="B17">
        <f>B15</f>
        <v>1</v>
      </c>
      <c r="C17" s="1">
        <f>B9</f>
        <v>3.2989999999999999</v>
      </c>
      <c r="D17" s="2">
        <f t="shared" ref="D17" si="2">EXP(C17)</f>
        <v>27.085539833539045</v>
      </c>
      <c r="E17" s="2"/>
      <c r="F17" s="13"/>
    </row>
    <row r="18" spans="1:20" x14ac:dyDescent="0.25">
      <c r="A18" s="3" t="str">
        <f>A19</f>
        <v>syls3</v>
      </c>
      <c r="B18">
        <v>0</v>
      </c>
      <c r="C18" s="1">
        <v>0</v>
      </c>
      <c r="D18" s="2">
        <f t="shared" ref="D18" si="3">C18</f>
        <v>0</v>
      </c>
      <c r="E18" s="2"/>
      <c r="F18" s="13"/>
    </row>
    <row r="19" spans="1:20" x14ac:dyDescent="0.25">
      <c r="A19" s="3" t="str">
        <f>A10</f>
        <v>syls3</v>
      </c>
      <c r="B19">
        <f>B17</f>
        <v>1</v>
      </c>
      <c r="C19" s="1">
        <f>B10</f>
        <v>3.1930000000000001</v>
      </c>
      <c r="D19" s="2">
        <f t="shared" ref="D19" si="4">EXP(C19)</f>
        <v>24.361402132727282</v>
      </c>
      <c r="E19" s="2"/>
      <c r="F19" s="13"/>
      <c r="T19" t="s">
        <v>23</v>
      </c>
    </row>
    <row r="20" spans="1:20" x14ac:dyDescent="0.25">
      <c r="A20" s="3" t="str">
        <f>A21</f>
        <v>syls4</v>
      </c>
      <c r="B20">
        <v>0</v>
      </c>
      <c r="C20" s="1">
        <v>0</v>
      </c>
      <c r="D20" s="2">
        <f t="shared" ref="D20" si="5">C20</f>
        <v>0</v>
      </c>
    </row>
    <row r="21" spans="1:20" x14ac:dyDescent="0.25">
      <c r="A21" s="3" t="str">
        <f>A11</f>
        <v>syls4</v>
      </c>
      <c r="B21">
        <f>B19</f>
        <v>1</v>
      </c>
      <c r="C21" s="1">
        <f>B11</f>
        <v>2.5470000000000002</v>
      </c>
      <c r="D21" s="2">
        <f t="shared" ref="D21" si="6">EXP(C21)</f>
        <v>12.768740045693297</v>
      </c>
    </row>
    <row r="22" spans="1:20" x14ac:dyDescent="0.25">
      <c r="F22" s="14"/>
    </row>
    <row r="23" spans="1:20" x14ac:dyDescent="0.25">
      <c r="A23" t="str">
        <f>A7</f>
        <v>lh_slope</v>
      </c>
      <c r="B23" t="str">
        <f>B7</f>
        <v>predicted</v>
      </c>
    </row>
    <row r="24" spans="1:20" x14ac:dyDescent="0.25">
      <c r="A24" t="str">
        <f>A8</f>
        <v>syls1</v>
      </c>
      <c r="B24" s="1">
        <f>EXP(B8)</f>
        <v>27.71572661723382</v>
      </c>
      <c r="C24" s="1"/>
      <c r="D24" s="1"/>
      <c r="E24" s="1"/>
      <c r="F24" s="1"/>
    </row>
    <row r="25" spans="1:20" x14ac:dyDescent="0.25">
      <c r="A25" t="str">
        <f>A9</f>
        <v>syls2</v>
      </c>
      <c r="B25" s="1">
        <f t="shared" ref="B25" si="7">EXP(B9)</f>
        <v>27.085539833539045</v>
      </c>
      <c r="C25" s="1"/>
      <c r="D25" s="1"/>
      <c r="E25" s="1"/>
      <c r="F25" s="1"/>
    </row>
    <row r="26" spans="1:20" x14ac:dyDescent="0.25">
      <c r="A26" t="str">
        <f>A10</f>
        <v>syls3</v>
      </c>
      <c r="B26" s="1">
        <f t="shared" ref="B26" si="8">EXP(B10)</f>
        <v>24.361402132727282</v>
      </c>
      <c r="C26" s="1"/>
      <c r="D26" s="1"/>
      <c r="E26" s="1"/>
      <c r="F26" s="1"/>
    </row>
    <row r="27" spans="1:20" x14ac:dyDescent="0.25">
      <c r="A27" t="str">
        <f>A11</f>
        <v>syls4</v>
      </c>
      <c r="B27" s="1">
        <f t="shared" ref="B27" si="9">EXP(B11)</f>
        <v>12.768740045693297</v>
      </c>
      <c r="C27" s="1"/>
      <c r="D27" s="1"/>
      <c r="E27" s="1"/>
      <c r="F27" s="1"/>
    </row>
    <row r="31" spans="1:20" x14ac:dyDescent="0.25">
      <c r="A31" s="3"/>
      <c r="C31" s="1"/>
      <c r="D31" s="1"/>
    </row>
    <row r="32" spans="1:20" x14ac:dyDescent="0.25">
      <c r="A32" s="3"/>
      <c r="C32" s="1"/>
      <c r="D32" s="1"/>
    </row>
    <row r="33" spans="1:6" x14ac:dyDescent="0.25">
      <c r="A33" s="3"/>
      <c r="C33" s="1"/>
      <c r="D33" s="1"/>
    </row>
    <row r="34" spans="1:6" x14ac:dyDescent="0.25">
      <c r="A34" s="3"/>
      <c r="C34" s="1"/>
      <c r="D34" s="1"/>
    </row>
    <row r="35" spans="1:6" x14ac:dyDescent="0.25">
      <c r="A35" s="3"/>
      <c r="C35" s="1"/>
      <c r="D35" s="1"/>
    </row>
    <row r="36" spans="1:6" x14ac:dyDescent="0.25">
      <c r="A36" s="3"/>
      <c r="C36" s="1"/>
      <c r="D36" s="1"/>
    </row>
    <row r="37" spans="1:6" x14ac:dyDescent="0.25">
      <c r="A37" s="3"/>
      <c r="C37" s="1"/>
      <c r="D37" s="1"/>
    </row>
    <row r="38" spans="1:6" x14ac:dyDescent="0.25">
      <c r="A38" s="3"/>
      <c r="C38" s="1"/>
      <c r="D38" s="1"/>
    </row>
    <row r="39" spans="1:6" x14ac:dyDescent="0.25">
      <c r="A39" s="3"/>
    </row>
    <row r="40" spans="1:6" x14ac:dyDescent="0.25">
      <c r="A40" s="3"/>
    </row>
    <row r="46" spans="1:6" x14ac:dyDescent="0.25">
      <c r="B46" s="1"/>
      <c r="C46" s="1"/>
      <c r="D46" s="1"/>
      <c r="E46" s="1"/>
      <c r="F46" s="1"/>
    </row>
    <row r="47" spans="1:6" x14ac:dyDescent="0.25">
      <c r="B47" s="1"/>
      <c r="C47" s="1"/>
      <c r="D47" s="1"/>
      <c r="E47" s="1"/>
      <c r="F47" s="1"/>
    </row>
    <row r="48" spans="1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49F-EF38-4D7B-B676-64AFB5DCFB0A}">
  <dimension ref="A1:AN40"/>
  <sheetViews>
    <sheetView zoomScaleNormal="100" workbookViewId="0">
      <selection activeCell="B23" sqref="B23"/>
    </sheetView>
  </sheetViews>
  <sheetFormatPr defaultRowHeight="15" x14ac:dyDescent="0.25"/>
  <sheetData>
    <row r="1" spans="1:6" x14ac:dyDescent="0.25">
      <c r="B1" t="s">
        <v>12</v>
      </c>
    </row>
    <row r="2" spans="1:6" x14ac:dyDescent="0.2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 s="3" t="str">
        <f>REPLACE([15]pn_l_t_b0!A6, 1, 5,"")</f>
        <v>syls1</v>
      </c>
      <c r="B3" s="3">
        <f>[15]pn_l_t_b0!B6</f>
        <v>87.521000000000001</v>
      </c>
      <c r="C3" s="3">
        <f>[15]pn_l_t_b0!C6</f>
        <v>-142.18403132901901</v>
      </c>
      <c r="D3" s="3">
        <f>[15]pn_l_t_b0!D6</f>
        <v>317.225577208819</v>
      </c>
      <c r="E3">
        <f>[15]pn_l_t_b0!E6</f>
        <v>51.435000000000002</v>
      </c>
      <c r="F3">
        <f>B3-C3</f>
        <v>229.70503132901899</v>
      </c>
    </row>
    <row r="4" spans="1:6" x14ac:dyDescent="0.25">
      <c r="A4" s="3" t="str">
        <f>REPLACE([15]pn_l_t_b0!A7, 1, 5,"")</f>
        <v>syls2</v>
      </c>
      <c r="B4" s="3">
        <f>[15]pn_l_t_b0!B7</f>
        <v>96.442999999999998</v>
      </c>
      <c r="C4" s="3">
        <f>[15]pn_l_t_b0!C7</f>
        <v>-135.91165139314199</v>
      </c>
      <c r="D4" s="3">
        <f>[15]pn_l_t_b0!D7</f>
        <v>328.79787602560799</v>
      </c>
      <c r="E4">
        <f>[15]pn_l_t_b0!E7</f>
        <v>51.207000000000001</v>
      </c>
      <c r="F4">
        <f>B4-C4</f>
        <v>232.35465139314198</v>
      </c>
    </row>
    <row r="5" spans="1:6" x14ac:dyDescent="0.25">
      <c r="A5" s="3" t="str">
        <f>REPLACE([15]pn_l_t_b0!A8, 1, 5,"")</f>
        <v>syls3</v>
      </c>
      <c r="B5" s="3">
        <f>[15]pn_l_t_b0!B8</f>
        <v>102.935</v>
      </c>
      <c r="C5" s="3">
        <f>[15]pn_l_t_b0!C8</f>
        <v>-124.335964371103</v>
      </c>
      <c r="D5" s="3">
        <f>[15]pn_l_t_b0!D8</f>
        <v>330.206780160177</v>
      </c>
      <c r="E5">
        <f>[15]pn_l_t_b0!E8</f>
        <v>51.600999999999999</v>
      </c>
      <c r="F5">
        <f>B5-C5</f>
        <v>227.27096437110299</v>
      </c>
    </row>
    <row r="6" spans="1:6" x14ac:dyDescent="0.25">
      <c r="A6" s="3" t="str">
        <f>REPLACE([15]pn_l_t_b0!A9, 1, 5,"")</f>
        <v>syls4</v>
      </c>
      <c r="B6" s="3">
        <f>[15]pn_l_t_b0!B9</f>
        <v>122.053</v>
      </c>
      <c r="C6" s="3">
        <f>[15]pn_l_t_b0!C9</f>
        <v>-106.458642645353</v>
      </c>
      <c r="D6" s="3">
        <f>[15]pn_l_t_b0!D9</f>
        <v>350.56525958932002</v>
      </c>
      <c r="E6">
        <f>[15]pn_l_t_b0!E9</f>
        <v>51.515999999999998</v>
      </c>
      <c r="F6">
        <f>B6-C6</f>
        <v>228.51164264535299</v>
      </c>
    </row>
    <row r="8" spans="1:6" x14ac:dyDescent="0.25">
      <c r="A8" t="s">
        <v>1</v>
      </c>
      <c r="B8" t="str">
        <f>B2</f>
        <v>predicted</v>
      </c>
      <c r="C8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25">
      <c r="A9" s="2" t="str">
        <f>REPLACE([16]pn_l_f0_b0!A6, 1, 5,"")</f>
        <v>syls1</v>
      </c>
      <c r="B9" s="2">
        <f>[16]pn_l_f0_b0!B6</f>
        <v>85.227999999999994</v>
      </c>
      <c r="C9" s="2">
        <f>[16]pn_l_f0_b0!C6</f>
        <v>82.200254272024097</v>
      </c>
      <c r="D9" s="2">
        <f>[16]pn_l_f0_b0!D6</f>
        <v>88.255928474584906</v>
      </c>
      <c r="E9">
        <f>[16]pn_l_f0_b0!E6</f>
        <v>1.373</v>
      </c>
      <c r="F9">
        <f t="shared" ref="F9:F25" si="0">B9-C9</f>
        <v>3.0277457279758977</v>
      </c>
    </row>
    <row r="10" spans="1:6" x14ac:dyDescent="0.25">
      <c r="A10" s="2" t="str">
        <f>REPLACE([16]pn_l_f0_b0!A7, 1, 5,"")</f>
        <v>syls2</v>
      </c>
      <c r="B10" s="2">
        <f>[16]pn_l_f0_b0!B7</f>
        <v>85.132000000000005</v>
      </c>
      <c r="C10" s="2">
        <f>[16]pn_l_f0_b0!C7</f>
        <v>82.102636255223899</v>
      </c>
      <c r="D10" s="2">
        <f>[16]pn_l_f0_b0!D7</f>
        <v>88.161280670752603</v>
      </c>
      <c r="E10">
        <f>[16]pn_l_f0_b0!E7</f>
        <v>1.3740000000000001</v>
      </c>
      <c r="F10">
        <f t="shared" si="0"/>
        <v>3.0293637447761057</v>
      </c>
    </row>
    <row r="11" spans="1:6" x14ac:dyDescent="0.25">
      <c r="A11" s="2" t="str">
        <f>REPLACE([16]pn_l_f0_b0!A8, 1, 5,"")</f>
        <v>syls3</v>
      </c>
      <c r="B11" s="2">
        <f>[16]pn_l_f0_b0!B8</f>
        <v>85.028000000000006</v>
      </c>
      <c r="C11" s="2">
        <f>[16]pn_l_f0_b0!C8</f>
        <v>81.980147128262999</v>
      </c>
      <c r="D11" s="2">
        <f>[16]pn_l_f0_b0!D8</f>
        <v>88.074896162800101</v>
      </c>
      <c r="E11">
        <f>[16]pn_l_f0_b0!E8</f>
        <v>1.39</v>
      </c>
      <c r="F11">
        <f t="shared" si="0"/>
        <v>3.0478528717370068</v>
      </c>
    </row>
    <row r="12" spans="1:6" x14ac:dyDescent="0.25">
      <c r="A12" s="2" t="str">
        <f>REPLACE([16]pn_l_f0_b0!A9, 1, 5,"")</f>
        <v>syls4</v>
      </c>
      <c r="B12" s="2">
        <f>[16]pn_l_f0_b0!B9</f>
        <v>84.962999999999994</v>
      </c>
      <c r="C12" s="2">
        <f>[16]pn_l_f0_b0!C9</f>
        <v>81.940576694900699</v>
      </c>
      <c r="D12" s="2">
        <f>[16]pn_l_f0_b0!D9</f>
        <v>87.985730969124404</v>
      </c>
      <c r="E12">
        <f>[16]pn_l_f0_b0!E9</f>
        <v>1.3680000000000001</v>
      </c>
      <c r="F12">
        <f t="shared" si="0"/>
        <v>3.022423305099295</v>
      </c>
    </row>
    <row r="15" spans="1:6" x14ac:dyDescent="0.25">
      <c r="A15" t="s">
        <v>2</v>
      </c>
      <c r="B15" t="str">
        <f>B2</f>
        <v>predicted</v>
      </c>
      <c r="C15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25">
      <c r="A16" s="3" t="str">
        <f>REPLACE([17]pn_h_t_b0!A9, 1, 5,"")</f>
        <v>syls1</v>
      </c>
      <c r="B16" s="3">
        <f>[17]pn_h_t_b0!B9</f>
        <v>186.215</v>
      </c>
      <c r="C16" s="3">
        <f>[17]pn_h_t_b0!C9</f>
        <v>57.281014459313802</v>
      </c>
      <c r="D16" s="3">
        <f>[17]pn_h_t_b0!D9</f>
        <v>315.14916990544498</v>
      </c>
      <c r="E16">
        <f>[17]pn_h_t_b0!E9</f>
        <v>32.164999999999999</v>
      </c>
      <c r="F16">
        <f t="shared" si="0"/>
        <v>128.93398554068619</v>
      </c>
    </row>
    <row r="17" spans="1:40" x14ac:dyDescent="0.25">
      <c r="A17" s="3" t="str">
        <f>REPLACE([17]pn_h_t_b0!A10, 1, 5,"")</f>
        <v>syls2</v>
      </c>
      <c r="B17" s="3">
        <f>[17]pn_h_t_b0!B10</f>
        <v>217.30199999999999</v>
      </c>
      <c r="C17" s="3">
        <f>[17]pn_h_t_b0!C10</f>
        <v>85.340581388749996</v>
      </c>
      <c r="D17" s="3">
        <f>[17]pn_h_t_b0!D10</f>
        <v>349.26363940551897</v>
      </c>
      <c r="E17">
        <f>[17]pn_h_t_b0!E10</f>
        <v>31.837</v>
      </c>
      <c r="F17">
        <f t="shared" si="0"/>
        <v>131.96141861125</v>
      </c>
    </row>
    <row r="18" spans="1:40" x14ac:dyDescent="0.25">
      <c r="A18" s="3" t="str">
        <f>REPLACE([17]pn_h_t_b0!A11, 1, 5,"")</f>
        <v>syls3</v>
      </c>
      <c r="B18" s="3">
        <f>[17]pn_h_t_b0!B11</f>
        <v>239.34</v>
      </c>
      <c r="C18" s="3">
        <f>[17]pn_h_t_b0!C11</f>
        <v>117.561272393484</v>
      </c>
      <c r="D18" s="3">
        <f>[17]pn_h_t_b0!D11</f>
        <v>361.118340570984</v>
      </c>
      <c r="E18">
        <f>[17]pn_h_t_b0!E11</f>
        <v>32.975000000000001</v>
      </c>
      <c r="F18">
        <f t="shared" si="0"/>
        <v>121.778727606516</v>
      </c>
    </row>
    <row r="19" spans="1:40" x14ac:dyDescent="0.25">
      <c r="A19" s="3" t="str">
        <f>REPLACE([17]pn_h_t_b0!A12, 1, 5,"")</f>
        <v>syls4</v>
      </c>
      <c r="B19" s="3">
        <f>[17]pn_h_t_b0!B12</f>
        <v>253.80699999999999</v>
      </c>
      <c r="C19" s="3">
        <f>[17]pn_h_t_b0!C12</f>
        <v>129.270939958632</v>
      </c>
      <c r="D19" s="3">
        <f>[17]pn_h_t_b0!D12</f>
        <v>378.34233658065398</v>
      </c>
      <c r="E19">
        <f>[17]pn_h_t_b0!E12</f>
        <v>32.643999999999998</v>
      </c>
      <c r="F19">
        <f t="shared" si="0"/>
        <v>124.53606004136799</v>
      </c>
    </row>
    <row r="21" spans="1:40" x14ac:dyDescent="0.25">
      <c r="A21" t="s">
        <v>3</v>
      </c>
      <c r="B21" t="str">
        <f>B2</f>
        <v>predicted</v>
      </c>
      <c r="C21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25">
      <c r="A22" s="2" t="str">
        <f>REPLACE([18]pn_h_f0_b0!A9, 1, 5,"")</f>
        <v>syls1</v>
      </c>
      <c r="B22" s="2">
        <f>[18]pn_h_f0_b0!B9</f>
        <v>87.722999999999999</v>
      </c>
      <c r="C22" s="2">
        <f>[18]pn_h_f0_b0!C9</f>
        <v>84.567553502404195</v>
      </c>
      <c r="D22" s="2">
        <f>[18]pn_h_f0_b0!D9</f>
        <v>90.877548812808598</v>
      </c>
      <c r="E22">
        <f>[18]pn_h_f0_b0!E9</f>
        <v>1.4239999999999999</v>
      </c>
      <c r="F22">
        <f t="shared" si="0"/>
        <v>3.1554464975958041</v>
      </c>
    </row>
    <row r="23" spans="1:40" x14ac:dyDescent="0.25">
      <c r="A23" s="2" t="str">
        <f>REPLACE([18]pn_h_f0_b0!A10, 1, 5,"")</f>
        <v>syls2</v>
      </c>
      <c r="B23" s="2">
        <f>[18]pn_h_f0_b0!B10</f>
        <v>87.998999999999995</v>
      </c>
      <c r="C23" s="2">
        <f>[18]pn_h_f0_b0!C10</f>
        <v>84.855301724140801</v>
      </c>
      <c r="D23" s="2">
        <f>[18]pn_h_f0_b0!D10</f>
        <v>91.142765692695207</v>
      </c>
      <c r="E23">
        <f>[18]pn_h_f0_b0!E10</f>
        <v>1.4159999999999999</v>
      </c>
      <c r="F23">
        <f t="shared" si="0"/>
        <v>3.1436982758591938</v>
      </c>
    </row>
    <row r="24" spans="1:40" x14ac:dyDescent="0.25">
      <c r="A24" s="2" t="str">
        <f>REPLACE([18]pn_h_f0_b0!A11, 1, 5,"")</f>
        <v>syls3</v>
      </c>
      <c r="B24" s="2">
        <f>[18]pn_h_f0_b0!B11</f>
        <v>88.537000000000006</v>
      </c>
      <c r="C24" s="2">
        <f>[18]pn_h_f0_b0!C11</f>
        <v>85.360107513382204</v>
      </c>
      <c r="D24" s="2">
        <f>[18]pn_h_f0_b0!D11</f>
        <v>91.713958791305103</v>
      </c>
      <c r="E24">
        <f>[18]pn_h_f0_b0!E11</f>
        <v>1.4450000000000001</v>
      </c>
      <c r="F24">
        <f t="shared" si="0"/>
        <v>3.1768924866178025</v>
      </c>
    </row>
    <row r="25" spans="1:40" x14ac:dyDescent="0.25">
      <c r="A25" s="2" t="str">
        <f>REPLACE([18]pn_h_f0_b0!A12, 1, 5,"")</f>
        <v>syls4</v>
      </c>
      <c r="B25" s="2">
        <f>[18]pn_h_f0_b0!B12</f>
        <v>88.436999999999998</v>
      </c>
      <c r="C25" s="2">
        <f>[18]pn_h_f0_b0!C12</f>
        <v>85.270075254311905</v>
      </c>
      <c r="D25" s="2">
        <f>[18]pn_h_f0_b0!D12</f>
        <v>91.604828170651103</v>
      </c>
      <c r="E25">
        <f>[18]pn_h_f0_b0!E12</f>
        <v>1.4350000000000001</v>
      </c>
      <c r="F25">
        <f t="shared" si="0"/>
        <v>3.1669247456880925</v>
      </c>
    </row>
    <row r="29" spans="1:40" x14ac:dyDescent="0.25">
      <c r="B29" s="3"/>
      <c r="C29" s="3"/>
      <c r="D29" s="3"/>
    </row>
    <row r="30" spans="1:40" x14ac:dyDescent="0.25">
      <c r="B30" s="3"/>
      <c r="C30" s="3"/>
      <c r="D30" s="3"/>
    </row>
    <row r="31" spans="1:40" x14ac:dyDescent="0.25">
      <c r="B31" s="3"/>
      <c r="C31" s="3"/>
      <c r="D31" s="3"/>
    </row>
    <row r="32" spans="1:40" x14ac:dyDescent="0.25">
      <c r="B32" s="3"/>
      <c r="C32" s="3"/>
      <c r="D32" s="3"/>
    </row>
    <row r="34" spans="2:23" x14ac:dyDescent="0.25">
      <c r="I34" s="4"/>
    </row>
    <row r="35" spans="2:23" x14ac:dyDescent="0.25">
      <c r="B35" s="2"/>
      <c r="C35" s="2"/>
      <c r="D35" s="2"/>
      <c r="I35" s="8"/>
    </row>
    <row r="36" spans="2:23" x14ac:dyDescent="0.25">
      <c r="B36" s="2"/>
      <c r="C36" s="2"/>
      <c r="D36" s="2"/>
      <c r="I36" s="7"/>
    </row>
    <row r="37" spans="2:23" x14ac:dyDescent="0.25">
      <c r="B37" s="2"/>
      <c r="C37" s="2"/>
      <c r="D37" s="2"/>
      <c r="I37" s="7"/>
    </row>
    <row r="38" spans="2:23" x14ac:dyDescent="0.25">
      <c r="B38" s="2"/>
      <c r="C38" s="2"/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2:23" x14ac:dyDescent="0.25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2:23" x14ac:dyDescent="0.25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52F-268F-41A1-B73D-786A1FD63390}">
  <dimension ref="A1:AN40"/>
  <sheetViews>
    <sheetView zoomScaleNormal="100" workbookViewId="0">
      <selection activeCell="A7" sqref="A7"/>
    </sheetView>
  </sheetViews>
  <sheetFormatPr defaultRowHeight="15" x14ac:dyDescent="0.25"/>
  <cols>
    <col min="2" max="3" width="9.140625" style="3"/>
  </cols>
  <sheetData>
    <row r="1" spans="1:6" x14ac:dyDescent="0.25">
      <c r="B1" s="3" t="s">
        <v>12</v>
      </c>
    </row>
    <row r="2" spans="1:6" x14ac:dyDescent="0.25">
      <c r="A2" t="s">
        <v>0</v>
      </c>
      <c r="B2" s="3" t="s">
        <v>6</v>
      </c>
      <c r="C2" s="3" t="s">
        <v>7</v>
      </c>
      <c r="D2" t="s">
        <v>8</v>
      </c>
      <c r="E2" t="s">
        <v>9</v>
      </c>
      <c r="F2" t="s">
        <v>10</v>
      </c>
    </row>
    <row r="3" spans="1:6" x14ac:dyDescent="0.25">
      <c r="A3" s="3" t="str">
        <f>REPLACE([15]pn_l_t_b0!A2,5,4,"")</f>
        <v>ana_0</v>
      </c>
      <c r="B3" s="3">
        <f>[15]pn_l_t_b0!B2</f>
        <v>87.521000000000001</v>
      </c>
      <c r="C3" s="3">
        <f>[15]pn_l_t_b0!C2</f>
        <v>-142.18403132901901</v>
      </c>
      <c r="D3" s="3">
        <f>[15]pn_l_t_b0!D2</f>
        <v>317.225577208819</v>
      </c>
      <c r="E3">
        <f>[15]pn_l_t_b0!E2</f>
        <v>51.435000000000002</v>
      </c>
      <c r="F3">
        <f>B3-C3</f>
        <v>229.70503132901899</v>
      </c>
    </row>
    <row r="4" spans="1:6" x14ac:dyDescent="0.25">
      <c r="A4" s="3" t="str">
        <f>REPLACE([15]pn_l_t_b0!A3,5,4,"")</f>
        <v>ana_1</v>
      </c>
      <c r="B4" s="3">
        <f>[15]pn_l_t_b0!B3</f>
        <v>28.847000000000001</v>
      </c>
      <c r="C4" s="3">
        <f>[15]pn_l_t_b0!C3</f>
        <v>-47.743912842866798</v>
      </c>
      <c r="D4" s="3">
        <f>[15]pn_l_t_b0!D3</f>
        <v>105.437202953376</v>
      </c>
      <c r="E4">
        <f>[15]pn_l_t_b0!E3</f>
        <v>20.638000000000002</v>
      </c>
      <c r="F4">
        <f>B4-C4</f>
        <v>76.5909128428668</v>
      </c>
    </row>
    <row r="5" spans="1:6" x14ac:dyDescent="0.25">
      <c r="A5" s="3" t="str">
        <f>REPLACE([15]pn_l_t_b0!A4,5,4,"")</f>
        <v>ana_2</v>
      </c>
      <c r="B5" s="3">
        <f>[15]pn_l_t_b0!B4</f>
        <v>70.17</v>
      </c>
      <c r="C5" s="3">
        <f>[15]pn_l_t_b0!C4</f>
        <v>-101.811084145064</v>
      </c>
      <c r="D5" s="3">
        <f>[15]pn_l_t_b0!D4</f>
        <v>242.15091752223299</v>
      </c>
      <c r="E5">
        <f>[15]pn_l_t_b0!E4</f>
        <v>32.359000000000002</v>
      </c>
      <c r="F5">
        <f>B5-C5</f>
        <v>171.98108414506402</v>
      </c>
    </row>
    <row r="6" spans="1:6" x14ac:dyDescent="0.25">
      <c r="A6" s="3" t="str">
        <f>REPLACE([15]pn_l_t_b0!A5,5,4,"")</f>
        <v>ana_3</v>
      </c>
      <c r="B6" s="3">
        <f>[15]pn_l_t_b0!B5</f>
        <v>80.019000000000005</v>
      </c>
      <c r="C6" s="3">
        <f>[15]pn_l_t_b0!C5</f>
        <v>-92.180124499966794</v>
      </c>
      <c r="D6" s="3">
        <f>[15]pn_l_t_b0!D5</f>
        <v>252.217436731531</v>
      </c>
      <c r="E6">
        <f>[15]pn_l_t_b0!E5</f>
        <v>32.348999999999997</v>
      </c>
      <c r="F6">
        <f>B6-C6</f>
        <v>172.19912449996679</v>
      </c>
    </row>
    <row r="8" spans="1:6" x14ac:dyDescent="0.25">
      <c r="A8" t="s">
        <v>1</v>
      </c>
      <c r="B8" s="3" t="str">
        <f>B2</f>
        <v>predicted</v>
      </c>
      <c r="C8" s="3" t="str">
        <f>C2</f>
        <v>conf.low</v>
      </c>
      <c r="D8" t="str">
        <f>D2</f>
        <v>conf.high</v>
      </c>
      <c r="E8" t="str">
        <f>E2</f>
        <v>std.error</v>
      </c>
      <c r="F8" t="str">
        <f>F2</f>
        <v>CI diff</v>
      </c>
    </row>
    <row r="9" spans="1:6" x14ac:dyDescent="0.25">
      <c r="A9" s="2" t="str">
        <f>REPLACE([16]pn_l_f0_b0!A2,5,4,"")</f>
        <v>ana_0</v>
      </c>
      <c r="B9" s="2">
        <f>[16]pn_l_f0_b0!B2</f>
        <v>85.227999999999994</v>
      </c>
      <c r="C9" s="2">
        <f>[16]pn_l_f0_b0!C2</f>
        <v>82.200254272024097</v>
      </c>
      <c r="D9" s="2">
        <f>[16]pn_l_f0_b0!D2</f>
        <v>88.255928474584906</v>
      </c>
      <c r="E9" s="2">
        <f>[16]pn_l_f0_b0!E2</f>
        <v>1.373</v>
      </c>
      <c r="F9">
        <f t="shared" ref="F9:F25" si="0">B9-C9</f>
        <v>3.0277457279758977</v>
      </c>
    </row>
    <row r="10" spans="1:6" x14ac:dyDescent="0.25">
      <c r="A10" s="2" t="str">
        <f>REPLACE([16]pn_l_f0_b0!A3,5,4,"")</f>
        <v>ana_1</v>
      </c>
      <c r="B10" s="2">
        <f>[16]pn_l_f0_b0!B3</f>
        <v>86.135000000000005</v>
      </c>
      <c r="C10" s="2">
        <f>[16]pn_l_f0_b0!C3</f>
        <v>83.121660362266596</v>
      </c>
      <c r="D10" s="2">
        <f>[16]pn_l_f0_b0!D3</f>
        <v>89.148137333046904</v>
      </c>
      <c r="E10" s="2">
        <f>[16]pn_l_f0_b0!E3</f>
        <v>1.359</v>
      </c>
      <c r="F10">
        <f t="shared" si="0"/>
        <v>3.0133396377334094</v>
      </c>
    </row>
    <row r="11" spans="1:6" x14ac:dyDescent="0.25">
      <c r="A11" s="2" t="str">
        <f>REPLACE([16]pn_l_f0_b0!A4,5,4,"")</f>
        <v>ana_2</v>
      </c>
      <c r="B11" s="2">
        <f>[16]pn_l_f0_b0!B4</f>
        <v>85.457999999999998</v>
      </c>
      <c r="C11" s="2">
        <f>[16]pn_l_f0_b0!C4</f>
        <v>82.431091949304601</v>
      </c>
      <c r="D11" s="2">
        <f>[16]pn_l_f0_b0!D4</f>
        <v>88.485711745757996</v>
      </c>
      <c r="E11" s="2">
        <f>[16]pn_l_f0_b0!E4</f>
        <v>1.3720000000000001</v>
      </c>
      <c r="F11">
        <f t="shared" si="0"/>
        <v>3.0269080506953969</v>
      </c>
    </row>
    <row r="12" spans="1:6" x14ac:dyDescent="0.25">
      <c r="A12" s="2" t="str">
        <f>REPLACE([16]pn_l_f0_b0!A5,5,4,"")</f>
        <v>ana_3</v>
      </c>
      <c r="B12" s="2">
        <f>[16]pn_l_f0_b0!B5</f>
        <v>85.32</v>
      </c>
      <c r="C12" s="2">
        <f>[16]pn_l_f0_b0!C5</f>
        <v>82.292584233335504</v>
      </c>
      <c r="D12" s="2">
        <f>[16]pn_l_f0_b0!D5</f>
        <v>88.347662091301999</v>
      </c>
      <c r="E12" s="2">
        <f>[16]pn_l_f0_b0!E5</f>
        <v>1.373</v>
      </c>
      <c r="F12">
        <f t="shared" si="0"/>
        <v>3.0274157666644896</v>
      </c>
    </row>
    <row r="15" spans="1:6" x14ac:dyDescent="0.25">
      <c r="A15" t="s">
        <v>2</v>
      </c>
      <c r="B15" s="3" t="str">
        <f>B2</f>
        <v>predicted</v>
      </c>
      <c r="C15" s="3" t="str">
        <f>C2</f>
        <v>conf.low</v>
      </c>
      <c r="D15" t="str">
        <f>D2</f>
        <v>conf.high</v>
      </c>
      <c r="E15" t="str">
        <f>E2</f>
        <v>std.error</v>
      </c>
      <c r="F15" t="str">
        <f>F2</f>
        <v>CI diff</v>
      </c>
    </row>
    <row r="16" spans="1:6" x14ac:dyDescent="0.25">
      <c r="A16" s="3" t="str">
        <f>REPLACE([17]pn_h_t_b0!A5,5,4,"")</f>
        <v>ana_0</v>
      </c>
      <c r="B16" s="3">
        <f>[17]pn_h_t_b0!B5</f>
        <v>186.215</v>
      </c>
      <c r="C16" s="3">
        <f>[17]pn_h_t_b0!C5</f>
        <v>57.281014459313802</v>
      </c>
      <c r="D16" s="3">
        <f>[17]pn_h_t_b0!D5</f>
        <v>315.14916990544498</v>
      </c>
      <c r="E16" s="3">
        <f>[17]pn_h_t_b0!E5</f>
        <v>32.164999999999999</v>
      </c>
      <c r="F16">
        <f t="shared" si="0"/>
        <v>128.93398554068619</v>
      </c>
    </row>
    <row r="17" spans="1:40" x14ac:dyDescent="0.25">
      <c r="A17" s="3" t="str">
        <f>REPLACE([17]pn_h_t_b0!A6,5,4,"")</f>
        <v>ana_1</v>
      </c>
      <c r="B17" s="3">
        <f>[17]pn_h_t_b0!B6</f>
        <v>151.989</v>
      </c>
      <c r="C17" s="3">
        <f>[17]pn_h_t_b0!C6</f>
        <v>112.475042995127</v>
      </c>
      <c r="D17" s="3">
        <f>[17]pn_h_t_b0!D6</f>
        <v>191.50330117014499</v>
      </c>
      <c r="E17" s="3">
        <f>[17]pn_h_t_b0!E6</f>
        <v>16.164000000000001</v>
      </c>
      <c r="F17">
        <f t="shared" si="0"/>
        <v>39.513957004873006</v>
      </c>
    </row>
    <row r="18" spans="1:40" x14ac:dyDescent="0.25">
      <c r="A18" s="3" t="str">
        <f>REPLACE([17]pn_h_t_b0!A7,5,4,"")</f>
        <v>ana_2</v>
      </c>
      <c r="B18" s="3">
        <f>[17]pn_h_t_b0!B7</f>
        <v>224.31399999999999</v>
      </c>
      <c r="C18" s="3">
        <f>[17]pn_h_t_b0!C7</f>
        <v>151.86327797413901</v>
      </c>
      <c r="D18" s="3">
        <f>[17]pn_h_t_b0!D7</f>
        <v>296.76414997696702</v>
      </c>
      <c r="E18" s="3">
        <f>[17]pn_h_t_b0!E7</f>
        <v>22.977</v>
      </c>
      <c r="F18">
        <f t="shared" si="0"/>
        <v>72.450722025860983</v>
      </c>
    </row>
    <row r="19" spans="1:40" x14ac:dyDescent="0.25">
      <c r="A19" s="3" t="str">
        <f>REPLACE([17]pn_h_t_b0!A8,5,4,"")</f>
        <v>ana_3</v>
      </c>
      <c r="B19" s="3">
        <f>[17]pn_h_t_b0!B8</f>
        <v>237.428</v>
      </c>
      <c r="C19" s="3">
        <f>[17]pn_h_t_b0!C8</f>
        <v>164.99686098666601</v>
      </c>
      <c r="D19" s="3">
        <f>[17]pn_h_t_b0!D8</f>
        <v>309.8598347002</v>
      </c>
      <c r="E19" s="3">
        <f>[17]pn_h_t_b0!E8</f>
        <v>22.981999999999999</v>
      </c>
      <c r="F19">
        <f t="shared" si="0"/>
        <v>72.43113901333399</v>
      </c>
    </row>
    <row r="21" spans="1:40" x14ac:dyDescent="0.25">
      <c r="A21" t="s">
        <v>3</v>
      </c>
      <c r="B21" s="3" t="str">
        <f>B2</f>
        <v>predicted</v>
      </c>
      <c r="C21" s="3" t="str">
        <f>C2</f>
        <v>conf.low</v>
      </c>
      <c r="D21" t="str">
        <f>D2</f>
        <v>conf.high</v>
      </c>
      <c r="E21" t="str">
        <f>E2</f>
        <v>std.error</v>
      </c>
      <c r="F21" t="str">
        <f>F2</f>
        <v>CI diff</v>
      </c>
      <c r="AN21" t="s">
        <v>14</v>
      </c>
    </row>
    <row r="22" spans="1:40" x14ac:dyDescent="0.25">
      <c r="A22" s="2" t="str">
        <f>REPLACE([18]pn_h_f0_b0!A5,5,4,"")</f>
        <v>ana_0</v>
      </c>
      <c r="B22" s="2">
        <f>[18]pn_h_f0_b0!B5</f>
        <v>87.722999999999999</v>
      </c>
      <c r="C22" s="2">
        <f>[18]pn_h_f0_b0!C5</f>
        <v>84.567553502404195</v>
      </c>
      <c r="D22" s="2">
        <f>[18]pn_h_f0_b0!D5</f>
        <v>90.877548812808598</v>
      </c>
      <c r="E22" s="2">
        <f>[18]pn_h_f0_b0!E5</f>
        <v>1.4239999999999999</v>
      </c>
      <c r="F22">
        <f t="shared" si="0"/>
        <v>3.1554464975958041</v>
      </c>
    </row>
    <row r="23" spans="1:40" x14ac:dyDescent="0.25">
      <c r="A23" s="2" t="str">
        <f>REPLACE([18]pn_h_f0_b0!A6,5,4,"")</f>
        <v>ana_1</v>
      </c>
      <c r="B23" s="2">
        <f>[18]pn_h_f0_b0!B6</f>
        <v>88.337999999999994</v>
      </c>
      <c r="C23" s="2">
        <f>[18]pn_h_f0_b0!C6</f>
        <v>85.512792527610898</v>
      </c>
      <c r="D23" s="2">
        <f>[18]pn_h_f0_b0!D6</f>
        <v>91.162772275292994</v>
      </c>
      <c r="E23" s="2">
        <f>[18]pn_h_f0_b0!E6</f>
        <v>1.288</v>
      </c>
      <c r="F23">
        <f t="shared" si="0"/>
        <v>2.8252074723890956</v>
      </c>
    </row>
    <row r="24" spans="1:40" x14ac:dyDescent="0.25">
      <c r="A24" s="2" t="str">
        <f>REPLACE([18]pn_h_f0_b0!A7,5,4,"")</f>
        <v>ana_2</v>
      </c>
      <c r="B24" s="2">
        <f>[18]pn_h_f0_b0!B7</f>
        <v>88.484999999999999</v>
      </c>
      <c r="C24" s="2">
        <f>[18]pn_h_f0_b0!C7</f>
        <v>85.567725296202198</v>
      </c>
      <c r="D24" s="2">
        <f>[18]pn_h_f0_b0!D7</f>
        <v>91.402015796185296</v>
      </c>
      <c r="E24" s="2">
        <f>[18]pn_h_f0_b0!E7</f>
        <v>1.34</v>
      </c>
      <c r="F24">
        <f t="shared" si="0"/>
        <v>2.9172747037978013</v>
      </c>
    </row>
    <row r="25" spans="1:40" x14ac:dyDescent="0.25">
      <c r="A25" s="2" t="str">
        <f>REPLACE([18]pn_h_f0_b0!A8,5,4,"")</f>
        <v>ana_3</v>
      </c>
      <c r="B25" s="2">
        <f>[18]pn_h_f0_b0!B8</f>
        <v>87.78</v>
      </c>
      <c r="C25" s="2">
        <f>[18]pn_h_f0_b0!C8</f>
        <v>84.862195702853597</v>
      </c>
      <c r="D25" s="2">
        <f>[18]pn_h_f0_b0!D8</f>
        <v>90.697564500456295</v>
      </c>
      <c r="E25" s="2">
        <f>[18]pn_h_f0_b0!E8</f>
        <v>1.34</v>
      </c>
      <c r="F25">
        <f t="shared" si="0"/>
        <v>2.9178042971464038</v>
      </c>
    </row>
    <row r="29" spans="1:40" x14ac:dyDescent="0.25">
      <c r="D29" s="3"/>
    </row>
    <row r="30" spans="1:40" x14ac:dyDescent="0.25">
      <c r="D30" s="3"/>
    </row>
    <row r="31" spans="1:40" x14ac:dyDescent="0.25">
      <c r="D31" s="3"/>
    </row>
    <row r="32" spans="1:40" x14ac:dyDescent="0.25">
      <c r="D32" s="3"/>
    </row>
    <row r="34" spans="4:23" x14ac:dyDescent="0.25">
      <c r="I34" s="4"/>
    </row>
    <row r="35" spans="4:23" x14ac:dyDescent="0.25">
      <c r="D35" s="2"/>
      <c r="I35" s="8"/>
    </row>
    <row r="36" spans="4:23" x14ac:dyDescent="0.25">
      <c r="D36" s="2"/>
      <c r="I36" s="7"/>
    </row>
    <row r="37" spans="4:23" x14ac:dyDescent="0.25">
      <c r="D37" s="2"/>
      <c r="I37" s="7"/>
    </row>
    <row r="38" spans="4:23" x14ac:dyDescent="0.25">
      <c r="D38" s="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4:23" x14ac:dyDescent="0.25">
      <c r="I39" s="4"/>
      <c r="J39" s="4"/>
      <c r="K39" s="4"/>
      <c r="L39" s="4"/>
      <c r="M39" s="6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4:23" x14ac:dyDescent="0.25"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DDAF-16D8-40D4-8656-D048765803AC}">
  <dimension ref="A1:T49"/>
  <sheetViews>
    <sheetView topLeftCell="D1" zoomScale="115" zoomScaleNormal="115" workbookViewId="0">
      <selection activeCell="R9" sqref="R9"/>
    </sheetView>
  </sheetViews>
  <sheetFormatPr defaultRowHeight="15" x14ac:dyDescent="0.25"/>
  <cols>
    <col min="4" max="4" width="11" bestFit="1" customWidth="1"/>
  </cols>
  <sheetData>
    <row r="1" spans="1:20" x14ac:dyDescent="0.25">
      <c r="A1" t="s">
        <v>19</v>
      </c>
      <c r="B1" s="1" t="str">
        <f>[19]pn_f0_exc_b0!B1</f>
        <v>estimate</v>
      </c>
      <c r="C1" s="1" t="str">
        <f>[19]pn_f0_exc_b0!C1</f>
        <v>conf.low</v>
      </c>
      <c r="D1" s="1" t="str">
        <f>[19]pn_f0_exc_b0!D1</f>
        <v>conf.high</v>
      </c>
      <c r="E1" s="1" t="str">
        <f>[19]pn_f0_exc_b0!E1</f>
        <v>std.error</v>
      </c>
      <c r="F1" t="str">
        <f>F7</f>
        <v>CI diff</v>
      </c>
    </row>
    <row r="2" spans="1:20" x14ac:dyDescent="0.25">
      <c r="A2" s="3" t="str">
        <f>RIGHT([19]pn_f0_exc_b0!A2,5)</f>
        <v>syls1</v>
      </c>
      <c r="B2" s="1">
        <f>[19]pn_f0_exc_b0!B2</f>
        <v>1.298</v>
      </c>
      <c r="C2" s="1">
        <f>[19]pn_f0_exc_b0!C2</f>
        <v>-6.3562019279553796</v>
      </c>
      <c r="D2" s="1">
        <f>[19]pn_f0_exc_b0!D2</f>
        <v>8.9518665890610407</v>
      </c>
      <c r="E2" s="1">
        <f>[19]pn_f0_exc_b0!E2</f>
        <v>1.321</v>
      </c>
      <c r="F2" s="13">
        <f>B2-C2</f>
        <v>7.6542019279553797</v>
      </c>
      <c r="R2" s="37" t="s">
        <v>24</v>
      </c>
      <c r="S2" s="38"/>
      <c r="T2" s="15"/>
    </row>
    <row r="3" spans="1:20" x14ac:dyDescent="0.25">
      <c r="A3" s="3" t="str">
        <f>RIGHT([19]pn_f0_exc_b0!A3,5)</f>
        <v>syls2</v>
      </c>
      <c r="B3" s="1">
        <f>[19]pn_f0_exc_b0!B3</f>
        <v>1.405</v>
      </c>
      <c r="C3" s="1">
        <f>[19]pn_f0_exc_b0!C3</f>
        <v>-6.4190381452207097</v>
      </c>
      <c r="D3" s="1">
        <f>[19]pn_f0_exc_b0!D3</f>
        <v>9.2292020432522097</v>
      </c>
      <c r="E3" s="1">
        <f>[19]pn_f0_exc_b0!E3</f>
        <v>1.3129999999999999</v>
      </c>
      <c r="F3" s="13">
        <f t="shared" ref="F3:F5" si="0">B3-C3</f>
        <v>7.8240381452207099</v>
      </c>
      <c r="R3" s="39" t="s">
        <v>25</v>
      </c>
      <c r="S3" s="40"/>
      <c r="T3" s="15"/>
    </row>
    <row r="4" spans="1:20" x14ac:dyDescent="0.25">
      <c r="A4" s="3" t="str">
        <f>RIGHT([19]pn_f0_exc_b0!A4,5)</f>
        <v>syls3</v>
      </c>
      <c r="B4" s="1">
        <f>[19]pn_f0_exc_b0!B4</f>
        <v>1.8879999999999999</v>
      </c>
      <c r="C4" s="1">
        <f>[19]pn_f0_exc_b0!C4</f>
        <v>-5.5037493772178196</v>
      </c>
      <c r="D4" s="1">
        <f>[19]pn_f0_exc_b0!D4</f>
        <v>9.2791229417516305</v>
      </c>
      <c r="E4" s="1">
        <f>[19]pn_f0_exc_b0!E4</f>
        <v>1.331</v>
      </c>
      <c r="F4" s="13">
        <f t="shared" si="0"/>
        <v>7.3917493772178195</v>
      </c>
      <c r="R4" s="15"/>
    </row>
    <row r="5" spans="1:20" x14ac:dyDescent="0.25">
      <c r="A5" s="3" t="str">
        <f>RIGHT([19]pn_f0_exc_b0!A5,5)</f>
        <v>syls4</v>
      </c>
      <c r="B5" s="1">
        <f>[19]pn_f0_exc_b0!B5</f>
        <v>1.7210000000000001</v>
      </c>
      <c r="C5" s="1">
        <f>[19]pn_f0_exc_b0!C5</f>
        <v>-5.8200123724501296</v>
      </c>
      <c r="D5" s="1">
        <f>[19]pn_f0_exc_b0!D5</f>
        <v>9.2616276352988791</v>
      </c>
      <c r="E5" s="1">
        <f>[19]pn_f0_exc_b0!E5</f>
        <v>1.3260000000000001</v>
      </c>
      <c r="F5" s="13">
        <f t="shared" si="0"/>
        <v>7.5410123724501297</v>
      </c>
    </row>
    <row r="6" spans="1:20" x14ac:dyDescent="0.25">
      <c r="B6" s="1"/>
      <c r="C6" s="1"/>
      <c r="D6" s="1"/>
      <c r="E6" s="1"/>
      <c r="F6" s="13"/>
    </row>
    <row r="7" spans="1:20" x14ac:dyDescent="0.25">
      <c r="A7" t="s">
        <v>20</v>
      </c>
      <c r="B7" s="1" t="str">
        <f>B1</f>
        <v>estimate</v>
      </c>
      <c r="C7" s="1" t="str">
        <f t="shared" ref="C7:E7" si="1">C1</f>
        <v>conf.low</v>
      </c>
      <c r="D7" s="1" t="str">
        <f t="shared" si="1"/>
        <v>conf.high</v>
      </c>
      <c r="E7" s="1" t="str">
        <f t="shared" si="1"/>
        <v>std.error</v>
      </c>
      <c r="F7" t="s">
        <v>10</v>
      </c>
    </row>
    <row r="8" spans="1:20" x14ac:dyDescent="0.25">
      <c r="A8" s="3" t="str">
        <f>RIGHT([20]pn_lh_slope_b0!A2,5)</f>
        <v>syls1</v>
      </c>
      <c r="B8" s="1">
        <f>[20]pn_lh_slope_b0!B2</f>
        <v>2.7839999999999998</v>
      </c>
      <c r="C8" s="1">
        <f>[20]pn_lh_slope_b0!C2</f>
        <v>-0.10684713439322401</v>
      </c>
      <c r="D8" s="1">
        <f>[20]pn_lh_slope_b0!D2</f>
        <v>5.6755676905949901</v>
      </c>
      <c r="E8" s="1">
        <f>[20]pn_lh_slope_b0!E2</f>
        <v>0.45300000000000001</v>
      </c>
      <c r="F8" s="13">
        <f>B8-C8</f>
        <v>2.8908471343932236</v>
      </c>
    </row>
    <row r="9" spans="1:20" x14ac:dyDescent="0.25">
      <c r="A9" s="3" t="str">
        <f>RIGHT([20]pn_lh_slope_b0!A3,5)</f>
        <v>syls2</v>
      </c>
      <c r="B9" s="1">
        <f>[20]pn_lh_slope_b0!B3</f>
        <v>2.4529999999999998</v>
      </c>
      <c r="C9" s="1">
        <f>[20]pn_lh_slope_b0!C3</f>
        <v>-0.51371751150323897</v>
      </c>
      <c r="D9" s="1">
        <f>[20]pn_lh_slope_b0!D3</f>
        <v>5.42070874850919</v>
      </c>
      <c r="E9" s="1">
        <f>[20]pn_lh_slope_b0!E3</f>
        <v>0.44900000000000001</v>
      </c>
      <c r="F9" s="13">
        <f>B9-C9</f>
        <v>2.9667175115032389</v>
      </c>
    </row>
    <row r="10" spans="1:20" x14ac:dyDescent="0.25">
      <c r="A10" s="3" t="str">
        <f>RIGHT([20]pn_lh_slope_b0!A4,5)</f>
        <v>syls3</v>
      </c>
      <c r="B10" s="1">
        <f>[20]pn_lh_slope_b0!B4</f>
        <v>2.5659999999999998</v>
      </c>
      <c r="C10" s="1">
        <f>[20]pn_lh_slope_b0!C4</f>
        <v>-0.160073813594521</v>
      </c>
      <c r="D10" s="1">
        <f>[20]pn_lh_slope_b0!D4</f>
        <v>5.2913249152578903</v>
      </c>
      <c r="E10" s="1">
        <f>[20]pn_lh_slope_b0!E4</f>
        <v>0.45800000000000002</v>
      </c>
      <c r="F10" s="13">
        <f>B10-C10</f>
        <v>2.7260738135945211</v>
      </c>
    </row>
    <row r="11" spans="1:20" x14ac:dyDescent="0.25">
      <c r="A11" s="3" t="str">
        <f>RIGHT([20]pn_lh_slope_b0!A5,5)</f>
        <v>syls4</v>
      </c>
      <c r="B11" s="1">
        <f>[20]pn_lh_slope_b0!B5</f>
        <v>2.6030000000000002</v>
      </c>
      <c r="C11" s="1">
        <f>[20]pn_lh_slope_b0!C5</f>
        <v>-0.21787522043862301</v>
      </c>
      <c r="D11" s="1">
        <f>[20]pn_lh_slope_b0!D5</f>
        <v>5.4235264571914099</v>
      </c>
      <c r="E11" s="1">
        <f>[20]pn_lh_slope_b0!E5</f>
        <v>0.45500000000000002</v>
      </c>
      <c r="F11" s="13">
        <f>B11-C11</f>
        <v>2.8208752204386234</v>
      </c>
    </row>
    <row r="13" spans="1:20" x14ac:dyDescent="0.25">
      <c r="B13" t="s">
        <v>21</v>
      </c>
      <c r="C13" t="s">
        <v>22</v>
      </c>
    </row>
    <row r="14" spans="1:20" x14ac:dyDescent="0.25">
      <c r="A14" s="3" t="str">
        <f>A15</f>
        <v>syls1</v>
      </c>
      <c r="B14">
        <v>0</v>
      </c>
      <c r="C14" s="1">
        <v>0</v>
      </c>
      <c r="D14" s="2">
        <f>C14</f>
        <v>0</v>
      </c>
    </row>
    <row r="15" spans="1:20" x14ac:dyDescent="0.25">
      <c r="A15" s="3" t="str">
        <f>A8</f>
        <v>syls1</v>
      </c>
      <c r="B15">
        <v>1</v>
      </c>
      <c r="C15" s="1">
        <f>B8</f>
        <v>2.7839999999999998</v>
      </c>
      <c r="D15" s="2">
        <f>EXP(C15)</f>
        <v>16.183626156095535</v>
      </c>
    </row>
    <row r="16" spans="1:20" x14ac:dyDescent="0.25">
      <c r="A16" s="3" t="str">
        <f>A17</f>
        <v>syls2</v>
      </c>
      <c r="B16">
        <v>0</v>
      </c>
      <c r="C16" s="1">
        <v>0</v>
      </c>
      <c r="D16" s="2">
        <f t="shared" ref="D16" si="2">C16</f>
        <v>0</v>
      </c>
      <c r="E16" s="2"/>
      <c r="F16" s="13"/>
    </row>
    <row r="17" spans="1:20" x14ac:dyDescent="0.25">
      <c r="A17" s="3" t="str">
        <f>A9</f>
        <v>syls2</v>
      </c>
      <c r="B17">
        <f>B15</f>
        <v>1</v>
      </c>
      <c r="C17" s="1">
        <f>B9</f>
        <v>2.4529999999999998</v>
      </c>
      <c r="D17" s="2">
        <f t="shared" ref="D17" si="3">EXP(C17)</f>
        <v>11.623163959127988</v>
      </c>
      <c r="E17" s="2"/>
      <c r="F17" s="13"/>
    </row>
    <row r="18" spans="1:20" x14ac:dyDescent="0.25">
      <c r="A18" s="3" t="str">
        <f>A19</f>
        <v>syls3</v>
      </c>
      <c r="B18">
        <v>0</v>
      </c>
      <c r="C18" s="1">
        <v>0</v>
      </c>
      <c r="D18" s="2">
        <f t="shared" ref="D18" si="4">C18</f>
        <v>0</v>
      </c>
      <c r="E18" s="2"/>
      <c r="F18" s="13"/>
    </row>
    <row r="19" spans="1:20" x14ac:dyDescent="0.25">
      <c r="A19" s="3" t="str">
        <f>A10</f>
        <v>syls3</v>
      </c>
      <c r="B19">
        <f>B17</f>
        <v>1</v>
      </c>
      <c r="C19" s="1">
        <f>B10</f>
        <v>2.5659999999999998</v>
      </c>
      <c r="D19" s="2">
        <f t="shared" ref="D19" si="5">EXP(C19)</f>
        <v>13.013665530536809</v>
      </c>
      <c r="E19" s="2"/>
      <c r="F19" s="13"/>
      <c r="T19" t="s">
        <v>23</v>
      </c>
    </row>
    <row r="20" spans="1:20" x14ac:dyDescent="0.25">
      <c r="A20" s="3" t="str">
        <f>A21</f>
        <v>syls4</v>
      </c>
      <c r="B20">
        <v>0</v>
      </c>
      <c r="C20" s="1">
        <v>0</v>
      </c>
      <c r="D20" s="2">
        <f t="shared" ref="D20" si="6">C20</f>
        <v>0</v>
      </c>
    </row>
    <row r="21" spans="1:20" x14ac:dyDescent="0.25">
      <c r="A21" s="3" t="str">
        <f>A11</f>
        <v>syls4</v>
      </c>
      <c r="B21">
        <f>B19</f>
        <v>1</v>
      </c>
      <c r="C21" s="1">
        <f>B11</f>
        <v>2.6030000000000002</v>
      </c>
      <c r="D21" s="2">
        <f t="shared" ref="D21" si="7">EXP(C21)</f>
        <v>13.504189896560144</v>
      </c>
    </row>
    <row r="22" spans="1:20" x14ac:dyDescent="0.25">
      <c r="F22" s="14"/>
    </row>
    <row r="23" spans="1:20" x14ac:dyDescent="0.25">
      <c r="A23" t="str">
        <f>A7</f>
        <v>lh_slope</v>
      </c>
      <c r="B23" t="str">
        <f>B7</f>
        <v>estimate</v>
      </c>
    </row>
    <row r="24" spans="1:20" x14ac:dyDescent="0.25">
      <c r="A24" t="str">
        <f>A8</f>
        <v>syls1</v>
      </c>
      <c r="B24" s="1">
        <f>EXP(B8)</f>
        <v>16.183626156095535</v>
      </c>
      <c r="C24" s="1"/>
      <c r="D24" s="1"/>
      <c r="E24" s="1"/>
      <c r="F24" s="1"/>
    </row>
    <row r="25" spans="1:20" x14ac:dyDescent="0.25">
      <c r="A25" t="str">
        <f>A9</f>
        <v>syls2</v>
      </c>
      <c r="B25" s="1">
        <f t="shared" ref="B25:B27" si="8">EXP(B9)</f>
        <v>11.623163959127988</v>
      </c>
      <c r="C25" s="1"/>
      <c r="D25" s="1"/>
      <c r="E25" s="1"/>
      <c r="F25" s="1"/>
    </row>
    <row r="26" spans="1:20" x14ac:dyDescent="0.25">
      <c r="A26" t="str">
        <f>A10</f>
        <v>syls3</v>
      </c>
      <c r="B26" s="1">
        <f t="shared" si="8"/>
        <v>13.013665530536809</v>
      </c>
      <c r="C26" s="1"/>
      <c r="D26" s="1"/>
      <c r="E26" s="1"/>
      <c r="F26" s="1"/>
    </row>
    <row r="27" spans="1:20" x14ac:dyDescent="0.25">
      <c r="A27" t="str">
        <f>A11</f>
        <v>syls4</v>
      </c>
      <c r="B27" s="1">
        <f t="shared" si="8"/>
        <v>13.504189896560144</v>
      </c>
      <c r="C27" s="1"/>
      <c r="D27" s="1"/>
      <c r="E27" s="1"/>
      <c r="F27" s="1"/>
    </row>
    <row r="31" spans="1:20" x14ac:dyDescent="0.25">
      <c r="A31" s="3"/>
      <c r="C31" s="1"/>
      <c r="D31" s="1"/>
    </row>
    <row r="32" spans="1:20" x14ac:dyDescent="0.25">
      <c r="A32" s="3"/>
      <c r="C32" s="1"/>
      <c r="D32" s="1"/>
    </row>
    <row r="33" spans="1:6" x14ac:dyDescent="0.25">
      <c r="A33" s="3"/>
      <c r="C33" s="1"/>
      <c r="D33" s="1"/>
    </row>
    <row r="34" spans="1:6" x14ac:dyDescent="0.25">
      <c r="A34" s="3"/>
      <c r="C34" s="1"/>
      <c r="D34" s="1"/>
    </row>
    <row r="35" spans="1:6" x14ac:dyDescent="0.25">
      <c r="A35" s="3"/>
      <c r="C35" s="1"/>
      <c r="D35" s="1"/>
    </row>
    <row r="36" spans="1:6" x14ac:dyDescent="0.25">
      <c r="A36" s="3"/>
      <c r="C36" s="1"/>
      <c r="D36" s="1"/>
    </row>
    <row r="37" spans="1:6" x14ac:dyDescent="0.25">
      <c r="A37" s="3"/>
      <c r="C37" s="1"/>
      <c r="D37" s="1"/>
    </row>
    <row r="38" spans="1:6" x14ac:dyDescent="0.25">
      <c r="A38" s="3"/>
      <c r="C38" s="1"/>
      <c r="D38" s="1"/>
    </row>
    <row r="39" spans="1:6" x14ac:dyDescent="0.25">
      <c r="A39" s="3"/>
    </row>
    <row r="40" spans="1:6" x14ac:dyDescent="0.25">
      <c r="A40" s="3"/>
    </row>
    <row r="46" spans="1:6" x14ac:dyDescent="0.25">
      <c r="B46" s="1"/>
      <c r="C46" s="1"/>
      <c r="D46" s="1"/>
      <c r="E46" s="1"/>
      <c r="F46" s="1"/>
    </row>
    <row r="47" spans="1:6" x14ac:dyDescent="0.25">
      <c r="B47" s="1"/>
      <c r="C47" s="1"/>
      <c r="D47" s="1"/>
      <c r="E47" s="1"/>
      <c r="F47" s="1"/>
    </row>
    <row r="48" spans="1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</sheetData>
  <mergeCells count="2">
    <mergeCell ref="R2:S2"/>
    <mergeCell ref="R3:S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8D8E-F0EB-4DEA-8BE1-D87AA003D5D5}">
  <dimension ref="A1:I8"/>
  <sheetViews>
    <sheetView showGridLines="0" tabSelected="1" zoomScale="115" zoomScaleNormal="115" workbookViewId="0">
      <selection activeCell="K18" sqref="K18"/>
    </sheetView>
  </sheetViews>
  <sheetFormatPr defaultRowHeight="15" x14ac:dyDescent="0.25"/>
  <cols>
    <col min="1" max="1" width="18" customWidth="1"/>
    <col min="4" max="4" width="13.5703125" customWidth="1"/>
  </cols>
  <sheetData>
    <row r="1" spans="1:9" ht="15.75" thickBot="1" x14ac:dyDescent="0.3">
      <c r="A1" s="36" t="s">
        <v>40</v>
      </c>
      <c r="B1" s="35" t="s">
        <v>39</v>
      </c>
      <c r="C1" s="35" t="s">
        <v>38</v>
      </c>
      <c r="D1" s="35" t="s">
        <v>37</v>
      </c>
      <c r="E1" s="35" t="s">
        <v>36</v>
      </c>
      <c r="F1" s="35" t="s">
        <v>35</v>
      </c>
      <c r="G1" s="35" t="s">
        <v>34</v>
      </c>
      <c r="H1" s="35" t="s">
        <v>33</v>
      </c>
      <c r="I1" s="35" t="s">
        <v>26</v>
      </c>
    </row>
    <row r="2" spans="1:9" ht="16.5" thickTop="1" thickBot="1" x14ac:dyDescent="0.3">
      <c r="A2" s="21" t="s">
        <v>32</v>
      </c>
      <c r="B2" s="20">
        <v>1</v>
      </c>
      <c r="C2" s="20">
        <v>0</v>
      </c>
      <c r="D2" s="20">
        <v>1</v>
      </c>
      <c r="E2" s="26">
        <v>1</v>
      </c>
      <c r="F2" s="34">
        <v>35</v>
      </c>
      <c r="G2" s="33">
        <v>6</v>
      </c>
      <c r="H2" s="32">
        <v>13</v>
      </c>
      <c r="I2" s="31">
        <v>55</v>
      </c>
    </row>
    <row r="3" spans="1:9" ht="15.75" thickBot="1" x14ac:dyDescent="0.3">
      <c r="A3" s="21" t="s">
        <v>31</v>
      </c>
      <c r="B3" s="20">
        <v>1</v>
      </c>
      <c r="C3" s="20">
        <v>0</v>
      </c>
      <c r="D3" s="20">
        <v>2</v>
      </c>
      <c r="E3" s="18">
        <v>1</v>
      </c>
      <c r="F3" s="30">
        <v>46</v>
      </c>
      <c r="G3" s="29">
        <v>5</v>
      </c>
      <c r="H3" s="17">
        <v>4</v>
      </c>
      <c r="I3" s="22">
        <v>56</v>
      </c>
    </row>
    <row r="4" spans="1:9" ht="14.25" customHeight="1" thickBot="1" x14ac:dyDescent="0.3">
      <c r="A4" s="21" t="s">
        <v>30</v>
      </c>
      <c r="B4" s="20">
        <v>2</v>
      </c>
      <c r="C4" s="20">
        <v>0</v>
      </c>
      <c r="D4" s="20">
        <v>2</v>
      </c>
      <c r="E4" s="27">
        <v>3</v>
      </c>
      <c r="F4" s="28">
        <v>48</v>
      </c>
      <c r="G4" s="24">
        <v>2</v>
      </c>
      <c r="H4" s="27">
        <v>3</v>
      </c>
      <c r="I4" s="22">
        <v>56</v>
      </c>
    </row>
    <row r="5" spans="1:9" ht="26.25" customHeight="1" thickBot="1" x14ac:dyDescent="0.3">
      <c r="A5" s="21" t="s">
        <v>29</v>
      </c>
      <c r="B5" s="20">
        <v>2</v>
      </c>
      <c r="C5" s="20">
        <v>0</v>
      </c>
      <c r="D5" s="20">
        <v>3</v>
      </c>
      <c r="E5" s="18">
        <v>1</v>
      </c>
      <c r="F5" s="25">
        <v>35</v>
      </c>
      <c r="G5" s="27">
        <v>3</v>
      </c>
      <c r="H5" s="18">
        <v>1</v>
      </c>
      <c r="I5" s="26">
        <v>40</v>
      </c>
    </row>
    <row r="6" spans="1:9" ht="15.75" thickBot="1" x14ac:dyDescent="0.3">
      <c r="A6" s="21" t="s">
        <v>28</v>
      </c>
      <c r="B6" s="20">
        <v>3</v>
      </c>
      <c r="C6" s="20">
        <v>1</v>
      </c>
      <c r="D6" s="20">
        <v>1</v>
      </c>
      <c r="E6" s="18">
        <v>1</v>
      </c>
      <c r="F6" s="25">
        <v>35</v>
      </c>
      <c r="G6" s="24">
        <v>2</v>
      </c>
      <c r="H6" s="23">
        <v>18</v>
      </c>
      <c r="I6" s="22">
        <v>56</v>
      </c>
    </row>
    <row r="7" spans="1:9" ht="15.75" thickBot="1" x14ac:dyDescent="0.3">
      <c r="A7" s="21" t="s">
        <v>27</v>
      </c>
      <c r="B7" s="20">
        <v>3</v>
      </c>
      <c r="C7" s="20">
        <v>1</v>
      </c>
      <c r="D7" s="20">
        <v>2</v>
      </c>
      <c r="E7" s="18">
        <v>1</v>
      </c>
      <c r="F7" s="19">
        <v>51</v>
      </c>
      <c r="G7" s="18">
        <v>1</v>
      </c>
      <c r="H7" s="17">
        <v>4</v>
      </c>
      <c r="I7" s="16">
        <v>57</v>
      </c>
    </row>
    <row r="8" spans="1:9" x14ac:dyDescent="0.25">
      <c r="A8" s="42" t="s">
        <v>26</v>
      </c>
      <c r="B8" s="43"/>
      <c r="C8" s="43"/>
      <c r="D8" s="43"/>
      <c r="E8" s="41">
        <v>8</v>
      </c>
      <c r="F8" s="44">
        <v>250</v>
      </c>
      <c r="G8" s="45">
        <v>19</v>
      </c>
      <c r="H8" s="46">
        <v>43</v>
      </c>
      <c r="I8" s="43">
        <v>320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nuc foot</vt:lpstr>
      <vt:lpstr>nuc pre</vt:lpstr>
      <vt:lpstr>nuc slope exc</vt:lpstr>
      <vt:lpstr>pn foot</vt:lpstr>
      <vt:lpstr>pn ana</vt:lpstr>
      <vt:lpstr>pn slope exc</vt:lpstr>
      <vt:lpstr>PN Word Boundaries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dcterms:created xsi:type="dcterms:W3CDTF">2022-08-13T23:16:22Z</dcterms:created>
  <dcterms:modified xsi:type="dcterms:W3CDTF">2022-08-20T16:58:24Z</dcterms:modified>
</cp:coreProperties>
</file>