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1_{D01F5E28-60FD-4488-A2E4-B86B9905F4A5}" xr6:coauthVersionLast="47" xr6:coauthVersionMax="47" xr10:uidLastSave="{00000000-0000-0000-0000-000000000000}"/>
  <bookViews>
    <workbookView xWindow="-120" yWindow="-120" windowWidth="29040" windowHeight="15720" tabRatio="835" firstSheet="1" activeTab="12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PA gr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legends" sheetId="1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xlnm.Print_Area" localSheetId="1">'mode only B1'!$A$2:$BA$6</definedName>
    <definedName name="_xlnm.Print_Area" localSheetId="2">'mode RTH B0'!#REF!</definedName>
    <definedName name="_xlnm.Print_Area" localSheetId="3">'mode RTH B1'!$A$2:$BC$6</definedName>
    <definedName name="_xlnm.Print_Area" localSheetId="4">'PA B0'!$A$2:$AM$4</definedName>
    <definedName name="_xlnm.Print_Area" localSheetId="5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2" l="1"/>
  <c r="C10" i="22"/>
  <c r="A12" i="22"/>
  <c r="B12" i="22"/>
  <c r="C12" i="22"/>
  <c r="C20" i="19"/>
  <c r="C19" i="19"/>
  <c r="C10" i="19"/>
  <c r="C9" i="19"/>
  <c r="B16" i="21"/>
  <c r="B15" i="21"/>
  <c r="B8" i="21"/>
  <c r="B7" i="21"/>
  <c r="B8" i="18"/>
  <c r="B7" i="18"/>
  <c r="B16" i="18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E15" i="22"/>
  <c r="D15" i="22"/>
  <c r="C15" i="22"/>
  <c r="K14" i="22"/>
  <c r="J14" i="22"/>
  <c r="I14" i="22"/>
  <c r="H14" i="22"/>
  <c r="G14" i="22"/>
  <c r="F14" i="22"/>
  <c r="E14" i="22"/>
  <c r="D14" i="22"/>
  <c r="C14" i="22"/>
  <c r="K13" i="22"/>
  <c r="J13" i="22"/>
  <c r="I13" i="22"/>
  <c r="H13" i="22"/>
  <c r="G13" i="22"/>
  <c r="F13" i="22"/>
  <c r="E13" i="22"/>
  <c r="D13" i="22"/>
  <c r="C13" i="22"/>
  <c r="C20" i="22" s="1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K14" i="21" s="1"/>
  <c r="C14" i="21"/>
  <c r="B14" i="21"/>
  <c r="J13" i="21"/>
  <c r="I13" i="21"/>
  <c r="H13" i="21"/>
  <c r="G13" i="21"/>
  <c r="F13" i="21"/>
  <c r="E13" i="21"/>
  <c r="D13" i="21"/>
  <c r="K13" i="21" s="1"/>
  <c r="C13" i="21"/>
  <c r="B13" i="21"/>
  <c r="J12" i="21"/>
  <c r="I12" i="21"/>
  <c r="H12" i="21"/>
  <c r="G12" i="21"/>
  <c r="F12" i="21"/>
  <c r="E12" i="21"/>
  <c r="D12" i="21"/>
  <c r="C12" i="21"/>
  <c r="B12" i="21"/>
  <c r="K12" i="21" s="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J6" i="21"/>
  <c r="I6" i="21"/>
  <c r="H6" i="21"/>
  <c r="G6" i="21"/>
  <c r="F6" i="21"/>
  <c r="E6" i="21"/>
  <c r="D6" i="21"/>
  <c r="K6" i="21" s="1"/>
  <c r="C6" i="21"/>
  <c r="B6" i="21"/>
  <c r="J5" i="21"/>
  <c r="I5" i="21"/>
  <c r="H5" i="21"/>
  <c r="G5" i="21"/>
  <c r="F5" i="21"/>
  <c r="E5" i="21"/>
  <c r="D5" i="21"/>
  <c r="K5" i="21" s="1"/>
  <c r="C5" i="21"/>
  <c r="B5" i="21"/>
  <c r="J4" i="21"/>
  <c r="I4" i="21"/>
  <c r="H4" i="21"/>
  <c r="G4" i="21"/>
  <c r="F4" i="21"/>
  <c r="E4" i="21"/>
  <c r="D4" i="21"/>
  <c r="K4" i="21" s="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L13" i="22"/>
  <c r="L8" i="22"/>
  <c r="L5" i="22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K20" i="10" s="1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K26" i="10" s="1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F53" i="20"/>
  <c r="E53" i="20"/>
  <c r="D53" i="20"/>
  <c r="C57" i="20"/>
  <c r="C56" i="20"/>
  <c r="C55" i="20"/>
  <c r="C54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C19" i="22" l="1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D51" i="20"/>
  <c r="D45" i="20"/>
  <c r="K19" i="15"/>
  <c r="K24" i="15"/>
  <c r="D42" i="20"/>
  <c r="D48" i="20"/>
  <c r="K18" i="15"/>
  <c r="K20" i="15"/>
  <c r="D44" i="20"/>
  <c r="D49" i="20"/>
  <c r="D50" i="20"/>
  <c r="D43" i="20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J3" i="19"/>
  <c r="K3" i="19"/>
  <c r="C4" i="19"/>
  <c r="D4" i="19"/>
  <c r="E4" i="19"/>
  <c r="F4" i="19"/>
  <c r="G4" i="19"/>
  <c r="H4" i="19"/>
  <c r="I4" i="19"/>
  <c r="J4" i="19"/>
  <c r="K4" i="19"/>
  <c r="C5" i="19"/>
  <c r="L5" i="19" s="1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C18" i="19"/>
  <c r="D18" i="19"/>
  <c r="E18" i="19"/>
  <c r="F18" i="19"/>
  <c r="G18" i="19"/>
  <c r="H18" i="19"/>
  <c r="I18" i="19"/>
  <c r="J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K4" i="18" s="1"/>
  <c r="E4" i="18"/>
  <c r="F4" i="18"/>
  <c r="G4" i="18"/>
  <c r="H4" i="18"/>
  <c r="I4" i="18"/>
  <c r="J4" i="18"/>
  <c r="B5" i="18"/>
  <c r="C5" i="18"/>
  <c r="D5" i="18"/>
  <c r="K5" i="18" s="1"/>
  <c r="E5" i="18"/>
  <c r="F5" i="18"/>
  <c r="G5" i="18"/>
  <c r="H5" i="18"/>
  <c r="I5" i="18"/>
  <c r="J5" i="18"/>
  <c r="B6" i="18"/>
  <c r="C6" i="18"/>
  <c r="D6" i="18"/>
  <c r="K6" i="18" s="1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K11" i="18" s="1"/>
  <c r="E11" i="18"/>
  <c r="F11" i="18"/>
  <c r="G11" i="18"/>
  <c r="H11" i="18"/>
  <c r="I11" i="18"/>
  <c r="J11" i="18"/>
  <c r="B12" i="18"/>
  <c r="C12" i="18"/>
  <c r="D12" i="18"/>
  <c r="K12" i="18" s="1"/>
  <c r="E12" i="18"/>
  <c r="F12" i="18"/>
  <c r="G12" i="18"/>
  <c r="H12" i="18"/>
  <c r="I12" i="18"/>
  <c r="J12" i="18"/>
  <c r="B13" i="18"/>
  <c r="C13" i="18"/>
  <c r="D13" i="18"/>
  <c r="K13" i="18" s="1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C61" i="14"/>
  <c r="D61" i="14"/>
  <c r="E61" i="14"/>
  <c r="A40" i="14"/>
  <c r="A51" i="14" s="1"/>
  <c r="B40" i="14"/>
  <c r="C40" i="14"/>
  <c r="D40" i="14"/>
  <c r="E40" i="14"/>
  <c r="A62" i="14"/>
  <c r="B62" i="14"/>
  <c r="C62" i="14"/>
  <c r="D62" i="14"/>
  <c r="E62" i="14"/>
  <c r="A41" i="14"/>
  <c r="A52" i="14" s="1"/>
  <c r="B41" i="14"/>
  <c r="C41" i="14"/>
  <c r="D41" i="14"/>
  <c r="E41" i="14"/>
  <c r="A63" i="14"/>
  <c r="B63" i="14"/>
  <c r="C63" i="14"/>
  <c r="D63" i="14"/>
  <c r="E63" i="14"/>
  <c r="A42" i="14"/>
  <c r="A53" i="14" s="1"/>
  <c r="B42" i="14"/>
  <c r="C42" i="14"/>
  <c r="D42" i="14"/>
  <c r="E42" i="14"/>
  <c r="A64" i="14"/>
  <c r="B64" i="14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B4" i="16" s="1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B9" i="16" s="1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B14" i="16" s="1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B19" i="16" s="1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F20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K6" i="13" s="1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K13" i="10" s="1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B15" i="18" l="1"/>
  <c r="L15" i="19"/>
  <c r="K3" i="10"/>
  <c r="K8" i="10"/>
  <c r="K11" i="13"/>
  <c r="K16" i="13"/>
  <c r="K21" i="13"/>
  <c r="D57" i="20"/>
  <c r="F47" i="14"/>
  <c r="D54" i="20"/>
  <c r="L16" i="19"/>
  <c r="L8" i="19"/>
  <c r="L4" i="19"/>
  <c r="L17" i="19"/>
  <c r="L13" i="19"/>
  <c r="L18" i="19"/>
  <c r="L14" i="19"/>
  <c r="L7" i="19"/>
  <c r="L6" i="19"/>
  <c r="L3" i="19"/>
  <c r="D56" i="20"/>
  <c r="D55" i="20"/>
  <c r="F60" i="14"/>
  <c r="F26" i="14"/>
  <c r="F48" i="14"/>
  <c r="F49" i="14"/>
  <c r="C20" i="16"/>
  <c r="C16" i="16"/>
  <c r="B20" i="16"/>
  <c r="B16" i="16"/>
  <c r="H20" i="16"/>
  <c r="H16" i="16"/>
  <c r="K44" i="16"/>
  <c r="K27" i="16"/>
  <c r="K4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9" i="14"/>
  <c r="F61" i="14"/>
  <c r="F58" i="14"/>
  <c r="F53" i="14"/>
  <c r="F51" i="14"/>
  <c r="F41" i="14"/>
  <c r="F27" i="14"/>
  <c r="F62" i="14"/>
  <c r="F63" i="14"/>
  <c r="F64" i="14"/>
  <c r="F54" i="14"/>
  <c r="G20" i="16"/>
  <c r="K31" i="16"/>
  <c r="K39" i="16"/>
  <c r="E20" i="16"/>
  <c r="K45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65" i="14"/>
  <c r="F39" i="14"/>
  <c r="F38" i="14"/>
  <c r="K28" i="16"/>
  <c r="B3" i="16"/>
  <c r="K46" i="16"/>
  <c r="K41" i="16"/>
  <c r="E7" i="14"/>
  <c r="E17" i="14"/>
  <c r="I12" i="14"/>
  <c r="I7" i="14"/>
  <c r="I17" i="14"/>
  <c r="I12" i="13"/>
  <c r="I17" i="13"/>
  <c r="J16" i="2" l="1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K15" i="2" s="1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K11" i="10" s="1"/>
  <c r="J6" i="10"/>
  <c r="I6" i="10"/>
  <c r="H6" i="10"/>
  <c r="G6" i="10"/>
  <c r="F6" i="10"/>
  <c r="E6" i="10"/>
  <c r="D6" i="10"/>
  <c r="C6" i="10"/>
  <c r="B6" i="10"/>
  <c r="K6" i="10" s="1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K15" i="10" s="1"/>
  <c r="J10" i="10"/>
  <c r="I10" i="10"/>
  <c r="H10" i="10"/>
  <c r="G10" i="10"/>
  <c r="F10" i="10"/>
  <c r="E10" i="10"/>
  <c r="D10" i="10"/>
  <c r="C10" i="10"/>
  <c r="B10" i="10"/>
  <c r="K10" i="10" s="1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K29" i="10" s="1"/>
  <c r="J19" i="10"/>
  <c r="I19" i="10"/>
  <c r="H19" i="10"/>
  <c r="G19" i="10"/>
  <c r="F19" i="10"/>
  <c r="E19" i="10"/>
  <c r="D19" i="10"/>
  <c r="C19" i="10"/>
  <c r="B19" i="10"/>
  <c r="K19" i="10" s="1"/>
  <c r="J14" i="10"/>
  <c r="I14" i="10"/>
  <c r="H14" i="10"/>
  <c r="G14" i="10"/>
  <c r="F14" i="10"/>
  <c r="E14" i="10"/>
  <c r="D14" i="10"/>
  <c r="C14" i="10"/>
  <c r="B14" i="10"/>
  <c r="K14" i="10" s="1"/>
  <c r="J9" i="10"/>
  <c r="I9" i="10"/>
  <c r="H9" i="10"/>
  <c r="G9" i="10"/>
  <c r="F9" i="10"/>
  <c r="E9" i="10"/>
  <c r="D9" i="10"/>
  <c r="C9" i="10"/>
  <c r="B9" i="10"/>
  <c r="K9" i="10" s="1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I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I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I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I3" i="2"/>
  <c r="H3" i="2"/>
  <c r="G3" i="2"/>
  <c r="F3" i="2"/>
  <c r="E3" i="2"/>
  <c r="D3" i="2"/>
  <c r="C3" i="2"/>
  <c r="B3" i="2"/>
  <c r="J22" i="2"/>
  <c r="J17" i="2"/>
  <c r="J12" i="2"/>
  <c r="J7" i="2"/>
  <c r="K30" i="10" l="1"/>
  <c r="K31" i="10"/>
  <c r="K23" i="2"/>
  <c r="K29" i="2"/>
  <c r="K13" i="2"/>
  <c r="K31" i="2"/>
  <c r="K14" i="2"/>
  <c r="K10" i="2"/>
  <c r="K8" i="2"/>
  <c r="E45" i="20"/>
  <c r="E51" i="20"/>
  <c r="F51" i="20" s="1"/>
  <c r="E44" i="20"/>
  <c r="F44" i="20" s="1"/>
  <c r="E50" i="20"/>
  <c r="K19" i="2"/>
  <c r="K3" i="2"/>
  <c r="E42" i="20"/>
  <c r="F42" i="20" s="1"/>
  <c r="E48" i="20"/>
  <c r="K18" i="2"/>
  <c r="E43" i="20"/>
  <c r="E49" i="20"/>
  <c r="F49" i="20" s="1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E55" i="20" l="1"/>
  <c r="F43" i="20"/>
  <c r="F55" i="20" s="1"/>
  <c r="F48" i="20"/>
  <c r="F54" i="20" s="1"/>
  <c r="E54" i="20"/>
  <c r="E56" i="20"/>
  <c r="F50" i="20"/>
  <c r="F56" i="20" s="1"/>
  <c r="E57" i="20"/>
  <c r="F45" i="20"/>
  <c r="F57" i="20" s="1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<sst xmlns="http://schemas.openxmlformats.org/spreadsheetml/2006/main" count="478" uniqueCount="92">
  <si>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</si>
  <si>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</si>
  <si>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</si>
  <si>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</si>
  <si>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</si>
  <si>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</si>
  <si>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</si>
  <si>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</si>
  <si>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</si>
  <si>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</si>
  <si>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</si>
  <si>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</si>
  <si>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</si>
  <si>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</si>
  <si>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</si>
  <si>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</si>
  <si>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</si>
  <si>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</si>
  <si>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</si>
  <si>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</si>
  <si>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</si>
  <si>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</si>
  <si>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</si>
  <si>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</si>
  <si>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</si>
  <si>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</si>
  <si>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</si>
  <si>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</si>
  <si>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</si>
  <si>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</si>
  <si>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</si>
  <si>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</si>
  <si>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</si>
  <si>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</si>
  <si>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</si>
  <si>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</si>
  <si>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</si>
  <si>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</si>
  <si>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</si>
  <si>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</si>
  <si>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</si>
  <si>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</si>
  <si>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</si>
  <si>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</si>
  <si>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</si>
  <si>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</si>
  <si>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</si>
  <si>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</si>
  <si>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</si>
  <si>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</si>
  <si>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</si>
  <si>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</si>
  <si>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</si>
  <si>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</si>
  <si>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</si>
  <si>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</si>
  <si>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</si>
  <si>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</si>
  <si>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</si>
  <si>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</si>
  <si>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</si>
  <si>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</si>
  <si>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</si>
  <si>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</si>
  <si>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</si>
  <si>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diff</t>
  </si>
  <si>
    <t>SD</t>
  </si>
  <si>
    <t>mode-only</t>
  </si>
  <si>
    <t>mode+phon</t>
  </si>
  <si>
    <t>AVE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</si>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</sst>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80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9" fontId="22" fillId="0" borderId="21" xfId="1" applyFont="1" applyFill="1" applyBorder="1" applyAlignment="1">
      <alignment horizontal="right" vertical="center" wrapText="1"/>
    </xf>
    <xf numFmtId="166" fontId="23" fillId="0" borderId="12" xfId="0" applyNumberFormat="1" applyFont="1" applyBorder="1" applyAlignment="1">
      <alignment horizontal="right" vertical="center" wrapText="1"/>
    </xf>
    <xf numFmtId="166" fontId="23" fillId="0" borderId="11" xfId="0" applyNumberFormat="1" applyFont="1" applyBorder="1" applyAlignment="1">
      <alignment horizontal="right" vertical="center" wrapText="1"/>
    </xf>
    <xf numFmtId="166" fontId="23" fillId="0" borderId="2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13" fillId="0" borderId="19" xfId="0" applyNumberFormat="1" applyFont="1" applyBorder="1" applyAlignment="1">
      <alignment horizontal="right" vertical="center" wrapText="1"/>
    </xf>
    <xf numFmtId="164" fontId="13" fillId="0" borderId="1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0" fontId="0" fillId="0" borderId="0" xfId="0" applyBorder="1"/>
    <xf numFmtId="0" fontId="13" fillId="0" borderId="0" xfId="0" applyFont="1" applyBorder="1" applyAlignment="1">
      <alignment horizontal="right" vertical="center" wrapText="1"/>
    </xf>
    <xf numFmtId="2" fontId="13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2" fontId="9" fillId="0" borderId="0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9" fontId="13" fillId="0" borderId="15" xfId="1" applyFont="1" applyBorder="1" applyAlignment="1">
      <alignment horizontal="right" vertical="center" wrapText="1"/>
    </xf>
    <xf numFmtId="9" fontId="13" fillId="0" borderId="16" xfId="1" applyFont="1" applyBorder="1" applyAlignment="1">
      <alignment horizontal="right" vertical="center" wrapText="1"/>
    </xf>
    <xf numFmtId="9" fontId="13" fillId="0" borderId="23" xfId="1" applyFont="1" applyBorder="1" applyAlignment="1">
      <alignment horizontal="right" vertical="center" wrapText="1"/>
    </xf>
    <xf numFmtId="9" fontId="13" fillId="0" borderId="24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B5B0F3"/>
      <color rgb="FFE7298A"/>
      <color rgb="FF1B9E77"/>
      <color rgb="FF7570B3"/>
      <color rgb="FFFF9F42"/>
      <color rgb="FFFC8D62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B1'!$K$4,'mode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B1'!$K$6,'mode only B1'!$K$11,'mode only B1'!$K$16,'mode only B1'!$K$21,'mode only B1'!$K$26,'mode only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B1'!$K$6,'mode only B1'!$K$11,'mode only B1'!$K$16,'mode only B1'!$K$21,'mode only B1'!$K$26,'mode only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B1'!$B$6,'mode only B1'!$B$11,'mode only B1'!$B$16,'mode only B1'!$B$21,'mode only B1'!$B$26,'mode only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B1'!$A$17,'mode only B1'!$A$7,'mode only B1'!$A$27,'mode only B1'!$A$22,'mode only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only B1'!$B$4,'mode only B1'!$B$19,'mode only B1'!$B$9,'mode only B1'!$B$29,'mode only B1'!$B$24,'mode only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only B1'!$A$2,'mode only B1'!$A$17,'mode only B1'!$A$7,'mode only B1'!$A$27,'mode only B1'!$A$22,'mode only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1.5320055223635691</c:v>
                  </c:pt>
                  <c:pt idx="1">
                    <c:v>1.9828364525984699</c:v>
                  </c:pt>
                  <c:pt idx="2">
                    <c:v>1.5728815557991598</c:v>
                  </c:pt>
                  <c:pt idx="3">
                    <c:v>2.46969641365013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1.5320055223635691</c:v>
                  </c:pt>
                  <c:pt idx="1">
                    <c:v>1.9828364525984699</c:v>
                  </c:pt>
                  <c:pt idx="2">
                    <c:v>1.5728815557991598</c:v>
                  </c:pt>
                  <c:pt idx="3">
                    <c:v>2.46969641365013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-0.96499999999999997</c:v>
                </c:pt>
                <c:pt idx="1">
                  <c:v>-3.0169999999999999</c:v>
                </c:pt>
                <c:pt idx="2">
                  <c:v>2.391</c:v>
                </c:pt>
                <c:pt idx="3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2.7438391984234802</c:v>
                  </c:pt>
                  <c:pt idx="1">
                    <c:v>1.7567482920909099</c:v>
                  </c:pt>
                  <c:pt idx="2">
                    <c:v>2.4904664805349697</c:v>
                  </c:pt>
                  <c:pt idx="3">
                    <c:v>3.1604894509667103</c:v>
                  </c:pt>
                  <c:pt idx="4">
                    <c:v>3.9880534552637705</c:v>
                  </c:pt>
                  <c:pt idx="5">
                    <c:v>1.9493406145969898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2.7438391984234802</c:v>
                  </c:pt>
                  <c:pt idx="1">
                    <c:v>1.7567482920909099</c:v>
                  </c:pt>
                  <c:pt idx="2">
                    <c:v>2.4904664805349697</c:v>
                  </c:pt>
                  <c:pt idx="3">
                    <c:v>3.1604894509667103</c:v>
                  </c:pt>
                  <c:pt idx="4">
                    <c:v>3.9880534552637705</c:v>
                  </c:pt>
                  <c:pt idx="5">
                    <c:v>1.9493406145969898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-2.052</c:v>
                </c:pt>
                <c:pt idx="1">
                  <c:v>3.3559999999999999</c:v>
                </c:pt>
                <c:pt idx="2">
                  <c:v>6.3929999999999998</c:v>
                </c:pt>
                <c:pt idx="3">
                  <c:v>5.4080000000000004</c:v>
                </c:pt>
                <c:pt idx="4">
                  <c:v>8.4450000000000003</c:v>
                </c:pt>
                <c:pt idx="5">
                  <c:v>3.0369999999999999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only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only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only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B0'!$K$28,'mode only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B0'!$K$28,'mode only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B0'!$K$41,'mode only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B0'!$K$41,'mode only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B0'!$B$28,'mode only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B0'!$B$41,'mode only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455564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455564</xdr:colOff>
      <xdr:row>16</xdr:row>
      <xdr:rowOff>199536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8.6999999999999994E-53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0.92800000000000005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0.246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7.8000000000000001E-21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4.3000000000000002E-17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6.8999999999999996E-7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0.57999999999999996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1.5999999999999999E-5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8.7999999999999999E-13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5.8E-18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5.2999999999999998E-4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5.2999999999999998E-4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5.2999999999999998E-4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5.2999999999999998E-4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4.6999999999999999E-4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0.61599999999999999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0.58799999999999997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0.92800000000000005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5.1999999999999998E-2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3.8000000000000002E-4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0.90600000000000003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8.4999999999999996E-23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0.44500000000000001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0.28000000000000003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0.45100000000000001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0.64600000000000002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0.17100000000000001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0.20499999999999999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0.72799999999999998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7.1999999999999996E-14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8.5000000000000004E-14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-0.96499999999999997</v>
          </cell>
          <cell r="C2">
            <v>-2.4963525049435602</v>
          </cell>
          <cell r="D2">
            <v>0.56700552236356905</v>
          </cell>
          <cell r="E2">
            <v>0.70699999999999996</v>
          </cell>
          <cell r="F2">
            <v>-1.365</v>
          </cell>
          <cell r="G2">
            <v>12.64</v>
          </cell>
          <cell r="H2">
            <v>0.19600000000000001</v>
          </cell>
          <cell r="I2">
            <v>0.20599999999999999</v>
          </cell>
        </row>
        <row r="3">
          <cell r="B3">
            <v>-3.0169999999999999</v>
          </cell>
          <cell r="C3">
            <v>-4.9996628049622398</v>
          </cell>
          <cell r="D3">
            <v>-1.03416354740153</v>
          </cell>
          <cell r="E3">
            <v>0.90300000000000002</v>
          </cell>
          <cell r="F3">
            <v>-3.34</v>
          </cell>
          <cell r="G3">
            <v>11.24</v>
          </cell>
          <cell r="H3">
            <v>6.0000000000000001E-3</v>
          </cell>
          <cell r="I3">
            <v>7.0000000000000001E-3</v>
          </cell>
          <cell r="J3" t="str">
            <v>p&lt;0.01</v>
          </cell>
        </row>
        <row r="4">
          <cell r="B4">
            <v>2.391</v>
          </cell>
          <cell r="C4">
            <v>0.81888946432429199</v>
          </cell>
          <cell r="D4">
            <v>3.9638815557991598</v>
          </cell>
          <cell r="E4">
            <v>0.73199999999999998</v>
          </cell>
          <cell r="F4">
            <v>3.2679999999999998</v>
          </cell>
          <cell r="G4">
            <v>13.74</v>
          </cell>
          <cell r="H4">
            <v>6.0000000000000001E-3</v>
          </cell>
          <cell r="I4">
            <v>7.0000000000000001E-3</v>
          </cell>
          <cell r="J4" t="str">
            <v>p&lt;0.01</v>
          </cell>
        </row>
        <row r="5">
          <cell r="B5">
            <v>5.4279999999999999</v>
          </cell>
          <cell r="C5">
            <v>2.9588560763468101</v>
          </cell>
          <cell r="D5">
            <v>7.89769641365013</v>
          </cell>
          <cell r="E5">
            <v>1.131</v>
          </cell>
          <cell r="F5">
            <v>4.8010000000000002</v>
          </cell>
          <cell r="G5">
            <v>11.74</v>
          </cell>
          <cell r="H5">
            <v>4.6000000000000001E-4</v>
          </cell>
          <cell r="I5">
            <v>5.5000000000000003E-4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0.82937481434781102</v>
          </cell>
        </row>
        <row r="3">
          <cell r="B3">
            <v>0.50842718754623495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0.22500000000000001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0.36599999999999999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-2.052</v>
          </cell>
          <cell r="D2">
            <v>-4.7958391984234803</v>
          </cell>
          <cell r="E2">
            <v>0.69136018358036599</v>
          </cell>
          <cell r="F2">
            <v>1.234</v>
          </cell>
          <cell r="G2">
            <v>-1.663</v>
          </cell>
          <cell r="H2">
            <v>10.15</v>
          </cell>
          <cell r="I2">
            <v>0.127</v>
          </cell>
          <cell r="J2">
            <v>0.184</v>
          </cell>
        </row>
        <row r="3">
          <cell r="C3">
            <v>3.3559999999999999</v>
          </cell>
          <cell r="D3">
            <v>1.59925170790909</v>
          </cell>
          <cell r="E3">
            <v>5.1128643975200099</v>
          </cell>
          <cell r="F3">
            <v>0.78900000000000003</v>
          </cell>
          <cell r="G3">
            <v>4.2549999999999999</v>
          </cell>
          <cell r="H3">
            <v>10.02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6.3929999999999998</v>
          </cell>
          <cell r="D4">
            <v>3.9025335194650301</v>
          </cell>
          <cell r="E4">
            <v>8.8833685051407798</v>
          </cell>
          <cell r="F4">
            <v>1.1200000000000001</v>
          </cell>
          <cell r="G4">
            <v>5.71</v>
          </cell>
          <cell r="H4">
            <v>10.119999999999999</v>
          </cell>
          <cell r="I4">
            <v>1.9000000000000001E-4</v>
          </cell>
          <cell r="J4">
            <v>5.5999999999999995E-4</v>
          </cell>
          <cell r="K4" t="str">
            <v>p&lt;0.001</v>
          </cell>
        </row>
        <row r="5">
          <cell r="C5">
            <v>5.4080000000000004</v>
          </cell>
          <cell r="D5">
            <v>2.2475105490332901</v>
          </cell>
          <cell r="E5">
            <v>8.5690840979103999</v>
          </cell>
          <cell r="F5">
            <v>1.4239999999999999</v>
          </cell>
          <cell r="G5">
            <v>3.7989999999999999</v>
          </cell>
          <cell r="H5">
            <v>10.27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8.4450000000000003</v>
          </cell>
          <cell r="D6">
            <v>4.4569465447362298</v>
          </cell>
          <cell r="E6">
            <v>12.4334349878491</v>
          </cell>
          <cell r="F6">
            <v>1.7949999999999999</v>
          </cell>
          <cell r="G6">
            <v>4.7050000000000001</v>
          </cell>
          <cell r="H6">
            <v>10.199999999999999</v>
          </cell>
          <cell r="I6">
            <v>7.9000000000000001E-4</v>
          </cell>
          <cell r="J6">
            <v>2E-3</v>
          </cell>
          <cell r="K6" t="str">
            <v>p&lt;0.01</v>
          </cell>
        </row>
        <row r="7">
          <cell r="C7">
            <v>3.0369999999999999</v>
          </cell>
          <cell r="D7">
            <v>1.0876593854030101</v>
          </cell>
          <cell r="E7">
            <v>4.9861256717540599</v>
          </cell>
          <cell r="F7">
            <v>0.873</v>
          </cell>
          <cell r="G7">
            <v>3.48</v>
          </cell>
          <cell r="H7">
            <v>9.82</v>
          </cell>
          <cell r="I7">
            <v>6.0000000000000001E-3</v>
          </cell>
          <cell r="J7">
            <v>1.0999999999999999E-2</v>
          </cell>
          <cell r="K7" t="str">
            <v>p&lt;0.05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0.26700000000000002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5.8999999999999997E-2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0.218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0.91543905713981299</v>
          </cell>
        </row>
        <row r="3">
          <cell r="B3">
            <v>0.249380872258086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0.22600000000000001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0.69099999999999995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5.8000000000000003E-2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5.6000000000000001E-2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0.17100000000000001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5.0000000000000001E-3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7.5000000000000002E-4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1.5000000000000001E-39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336" dataDxfId="334" headerRowBorderDxfId="335" tableBorderDxfId="333" totalsRowBorderDxfId="332">
  <autoFilter ref="A37:K41" xr:uid="{D3980010-2201-43EF-9941-5D34E4A5CF0F}"/>
  <tableColumns count="11">
    <tableColumn id="1" xr3:uid="{48EA7560-AFDA-4976-872C-A62413C27C30}" name="Predictors" dataDxfId="331">
      <calculatedColumnFormula>A31</calculatedColumnFormula>
    </tableColumn>
    <tableColumn id="2" xr3:uid="{B74BAF5A-A8B1-41AC-AA5C-9C7F4D3C00F5}" name="estimate" dataDxfId="330">
      <calculatedColumnFormula>[7]Mode_l_f0_b0!B2</calculatedColumnFormula>
    </tableColumn>
    <tableColumn id="6" xr3:uid="{25F0D2CD-4553-4F0F-A005-7B069A4DF146}" name="2.5% CI" dataDxfId="329">
      <calculatedColumnFormula>[7]Mode_l_f0_b0!C2</calculatedColumnFormula>
    </tableColumn>
    <tableColumn id="5" xr3:uid="{5C65DEBD-594B-4030-A893-0F5416AC8463}" name="97.5% CI" dataDxfId="328">
      <calculatedColumnFormula>[7]Mode_l_f0_b0!D2</calculatedColumnFormula>
    </tableColumn>
    <tableColumn id="4" xr3:uid="{E8CB2113-1504-4E4A-8C69-95B41702801D}" name="std.error" dataDxfId="327">
      <calculatedColumnFormula>[7]Mode_l_f0_b0!E2</calculatedColumnFormula>
    </tableColumn>
    <tableColumn id="9" xr3:uid="{3685B48B-FD8D-45C1-BDB3-A8E961B16560}" name="z.value" dataDxfId="326">
      <calculatedColumnFormula>[7]Mode_l_f0_b0!F2</calculatedColumnFormula>
    </tableColumn>
    <tableColumn id="7" xr3:uid="{82530BA9-A214-4E3F-8B7C-1C9D8230702E}" name="df" dataDxfId="325">
      <calculatedColumnFormula>[7]Mode_l_f0_b0!G2</calculatedColumnFormula>
    </tableColumn>
    <tableColumn id="3" xr3:uid="{13FC0C8F-F83E-4E94-AE8C-72CF30BBE373}" name="p.value" dataDxfId="324">
      <calculatedColumnFormula>[7]Mode_l_f0_b0!H2</calculatedColumnFormula>
    </tableColumn>
    <tableColumn id="10" xr3:uid="{11A56334-4561-4E93-921F-E06200DE80A2}" name="p.adj (BH)" dataDxfId="323">
      <calculatedColumnFormula>[7]Mode_l_f0_b0!I2</calculatedColumnFormula>
    </tableColumn>
    <tableColumn id="11" xr3:uid="{C53533F8-7533-44F1-90BA-B150BF875299}" name="signif." dataDxfId="322">
      <calculatedColumnFormula>[7]Mode_l_f0_b0!J2</calculatedColumnFormula>
    </tableColumn>
    <tableColumn id="8" xr3:uid="{C1996589-8716-4257-9BC3-42E65902C402}" name="|CI-delta|" dataDxfId="321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320" dataDxfId="318" headerRowBorderDxfId="319" tableBorderDxfId="317" totalsRowBorderDxfId="316">
  <autoFilter ref="A43:K47" xr:uid="{DE40A492-BBA9-4876-8724-BC64B3994271}"/>
  <tableColumns count="11">
    <tableColumn id="1" xr3:uid="{E34199D2-D5CB-45DC-96B2-AAECCF32344B}" name="Predictors" dataDxfId="315">
      <calculatedColumnFormula>A25</calculatedColumnFormula>
    </tableColumn>
    <tableColumn id="2" xr3:uid="{BF536D58-8825-421A-A286-3483AB4A0DBA}" name="estimate" dataDxfId="314">
      <calculatedColumnFormula>[8]Mode_h_f0_b0!B2</calculatedColumnFormula>
    </tableColumn>
    <tableColumn id="6" xr3:uid="{51E253F3-5545-4607-87E2-3713F0C79ED0}" name="2.5% CI" dataDxfId="313">
      <calculatedColumnFormula>[8]Mode_h_f0_b0!C2</calculatedColumnFormula>
    </tableColumn>
    <tableColumn id="5" xr3:uid="{39D9684C-88E4-42B1-822E-8BF560658BA3}" name="97.5% CI" dataDxfId="312">
      <calculatedColumnFormula>[8]Mode_h_f0_b0!D2</calculatedColumnFormula>
    </tableColumn>
    <tableColumn id="4" xr3:uid="{DBC249E2-0975-4309-BB60-C2B64E67BC66}" name="std.error" dataDxfId="311">
      <calculatedColumnFormula>[8]Mode_h_f0_b0!E2</calculatedColumnFormula>
    </tableColumn>
    <tableColumn id="9" xr3:uid="{BC78A058-E2DD-4469-A2C7-112329D198FF}" name="z.value" dataDxfId="310">
      <calculatedColumnFormula>[8]Mode_h_f0_b0!F2</calculatedColumnFormula>
    </tableColumn>
    <tableColumn id="7" xr3:uid="{345088CF-6388-428C-8713-406B42459A71}" name="df" dataDxfId="309">
      <calculatedColumnFormula>[8]Mode_h_f0_b0!G2</calculatedColumnFormula>
    </tableColumn>
    <tableColumn id="3" xr3:uid="{BF186A60-3668-4E52-B6B6-5FA634C84064}" name="p.value" dataDxfId="308">
      <calculatedColumnFormula>[8]Mode_h_f0_b0!H2</calculatedColumnFormula>
    </tableColumn>
    <tableColumn id="10" xr3:uid="{E78DB220-8E24-4C46-B371-A977334CF0B2}" name="p.adj (BH)" dataDxfId="307">
      <calculatedColumnFormula>[8]Mode_h_f0_b0!I2</calculatedColumnFormula>
    </tableColumn>
    <tableColumn id="11" xr3:uid="{2F1FC41D-A1D8-48DD-84A7-299EAAD40F3C}" name="signif." dataDxfId="306">
      <calculatedColumnFormula>[8]Mode_h_f0_b0!J2</calculatedColumnFormula>
    </tableColumn>
    <tableColumn id="8" xr3:uid="{91174BE1-7871-4821-9200-FC6E6061BBAE}" name="|CI-delta|" dataDxfId="305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304" dataDxfId="302" headerRowBorderDxfId="303" tableBorderDxfId="301" totalsRowBorderDxfId="300">
  <autoFilter ref="A24:K28" xr:uid="{31E79EDA-219D-4CFA-8AA6-6A991A81B772}"/>
  <tableColumns count="11">
    <tableColumn id="1" xr3:uid="{25702B6E-B402-46EF-BB07-89FAEF761F4F}" name="Predictors" dataDxfId="299" totalsRowDxfId="298"/>
    <tableColumn id="2" xr3:uid="{55B41C0A-72EC-4198-AA0E-BDC398F9A9B6}" name="estimate" dataDxfId="297" totalsRowDxfId="296">
      <calculatedColumnFormula>[5]Mode_l_t_b0!B2</calculatedColumnFormula>
    </tableColumn>
    <tableColumn id="6" xr3:uid="{6F9FB966-53EF-492A-8818-43E47D6A804A}" name="2.5% CI" dataDxfId="295" totalsRowDxfId="294">
      <calculatedColumnFormula>[5]Mode_l_t_b0!C2</calculatedColumnFormula>
    </tableColumn>
    <tableColumn id="5" xr3:uid="{79B4821D-DF78-4C65-827E-002BD888F3B1}" name="97.5% CI" dataDxfId="293" totalsRowDxfId="292">
      <calculatedColumnFormula>[5]Mode_l_t_b0!D2</calculatedColumnFormula>
    </tableColumn>
    <tableColumn id="11" xr3:uid="{F482AED5-B0BB-44BF-A8A3-D22BD51F16CA}" name="std.error" dataDxfId="291" totalsRowDxfId="290">
      <calculatedColumnFormula>[5]Mode_l_t_b0!E2</calculatedColumnFormula>
    </tableColumn>
    <tableColumn id="9" xr3:uid="{53B8EDFB-2AAD-41CD-93BC-EBF6EF2FA968}" name="z.value" dataDxfId="289" totalsRowDxfId="288">
      <calculatedColumnFormula>[5]Mode_l_t_b0!F2</calculatedColumnFormula>
    </tableColumn>
    <tableColumn id="7" xr3:uid="{B0600C54-1844-472B-91DD-0DF3D01FC44F}" name="df" dataDxfId="287" totalsRowDxfId="286">
      <calculatedColumnFormula>[5]Mode_l_t_b0!G2</calculatedColumnFormula>
    </tableColumn>
    <tableColumn id="4" xr3:uid="{FFDC2EE2-1EB3-430A-AB8E-0D89238F833E}" name="p.value" dataDxfId="285" totalsRowDxfId="284">
      <calculatedColumnFormula>[5]Mode_l_t_b0!H2</calculatedColumnFormula>
    </tableColumn>
    <tableColumn id="10" xr3:uid="{8B21A8EF-9EF0-49B8-878F-EF9AB4B6D715}" name="p.adj (BH)" dataDxfId="283" totalsRowDxfId="282">
      <calculatedColumnFormula>[5]Mode_l_t_b0!I2</calculatedColumnFormula>
    </tableColumn>
    <tableColumn id="12" xr3:uid="{21E87D89-DB44-44E1-BA28-5564E496E5EF}" name="signif." dataDxfId="281" totalsRowDxfId="280">
      <calculatedColumnFormula>[5]Mode_l_t_b0!J2</calculatedColumnFormula>
    </tableColumn>
    <tableColumn id="8" xr3:uid="{E2CC2F45-52B6-411C-8857-874E710E7E9B}" name="|CI-delta|" dataDxfId="279" totalsRowDxfId="27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77" dataDxfId="275" headerRowBorderDxfId="276" tableBorderDxfId="274" totalsRowBorderDxfId="273">
  <autoFilter ref="A30:K34" xr:uid="{873E651E-364D-4C9A-AC67-F669F1DC98F7}"/>
  <tableColumns count="11">
    <tableColumn id="1" xr3:uid="{13F39383-83C5-45EF-A3DC-AB048CB47D6B}" name="Predictors" dataDxfId="272">
      <calculatedColumnFormula>A25</calculatedColumnFormula>
    </tableColumn>
    <tableColumn id="2" xr3:uid="{FC01EC59-6FE5-4984-BD8C-56885D9A31B8}" name="estimate" dataDxfId="271">
      <calculatedColumnFormula>[6]Mode_h_t_b0!B2</calculatedColumnFormula>
    </tableColumn>
    <tableColumn id="6" xr3:uid="{123C5CEC-9EE4-42F1-8816-CAF425B9D6D8}" name="2.5% CI" dataDxfId="270">
      <calculatedColumnFormula>[6]Mode_h_t_b0!C2</calculatedColumnFormula>
    </tableColumn>
    <tableColumn id="5" xr3:uid="{92067161-C954-46A0-8425-5016FA39924E}" name="97.5% CI" dataDxfId="269">
      <calculatedColumnFormula>[6]Mode_h_t_b0!D2</calculatedColumnFormula>
    </tableColumn>
    <tableColumn id="11" xr3:uid="{BC66FE52-2DDC-4CAC-9D64-34A38A088B90}" name="std.error" dataDxfId="268">
      <calculatedColumnFormula>[6]Mode_h_t_b0!E2</calculatedColumnFormula>
    </tableColumn>
    <tableColumn id="7" xr3:uid="{69D0A743-B567-418D-8648-545E6E11AEE0}" name="z.value" dataDxfId="267">
      <calculatedColumnFormula>[6]Mode_h_t_b0!F2</calculatedColumnFormula>
    </tableColumn>
    <tableColumn id="4" xr3:uid="{AB4376D9-BDD9-4A36-92E2-B7D853A42B1C}" name="df" dataDxfId="266">
      <calculatedColumnFormula>[6]Mode_h_t_b0!G2</calculatedColumnFormula>
    </tableColumn>
    <tableColumn id="3" xr3:uid="{C7B0BA2B-ACE8-4615-9B5C-C09C24410A89}" name="p.value" dataDxfId="265">
      <calculatedColumnFormula>[6]Mode_h_t_b0!H2</calculatedColumnFormula>
    </tableColumn>
    <tableColumn id="9" xr3:uid="{BEF049A1-4C9A-4C60-8CFB-2E49B1922F49}" name="p.adj (BH)" dataDxfId="264">
      <calculatedColumnFormula>[6]Mode_h_t_b0!I2</calculatedColumnFormula>
    </tableColumn>
    <tableColumn id="10" xr3:uid="{B0F27E57-CE19-4360-9DFD-7B3120590EF3}" name="signif." dataDxfId="263">
      <calculatedColumnFormula>[6]Mode_h_t_b0!J2</calculatedColumnFormula>
    </tableColumn>
    <tableColumn id="8" xr3:uid="{017AD943-F50D-4872-8482-F88D6E168424}" name="|CI-delta|" dataDxfId="26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261" dataDxfId="259" headerRowBorderDxfId="260" tableBorderDxfId="258" totalsRowBorderDxfId="257">
  <autoFilter ref="A46:F54" xr:uid="{D3980010-2201-43EF-9941-5D34E4A5CF0F}"/>
  <tableColumns count="6">
    <tableColumn id="1" xr3:uid="{48EA7560-AFDA-4976-872C-A62413C27C30}" name="Predictors" dataDxfId="256">
      <calculatedColumnFormula>A36</calculatedColumnFormula>
    </tableColumn>
    <tableColumn id="2" xr3:uid="{B74BAF5A-A8B1-41AC-AA5C-9C7F4D3C00F5}" name="Estimates" dataDxfId="255">
      <calculatedColumnFormula>[13]Mode_PA_l_f0_b0!B2</calculatedColumnFormula>
    </tableColumn>
    <tableColumn id="6" xr3:uid="{25F0D2CD-4553-4F0F-A005-7B069A4DF146}" name="2.5% CI" dataDxfId="254">
      <calculatedColumnFormula>[13]Mode_PA_l_f0_b0!C2</calculatedColumnFormula>
    </tableColumn>
    <tableColumn id="5" xr3:uid="{5C65DEBD-594B-4030-A893-0F5416AC8463}" name="97.5% CI" dataDxfId="253">
      <calculatedColumnFormula>[13]Mode_PA_l_f0_b0!D2</calculatedColumnFormula>
    </tableColumn>
    <tableColumn id="4" xr3:uid="{DBAE124F-2AB7-4917-BD3C-BAC1A6AFFFAF}" name="std.error" dataDxfId="252">
      <calculatedColumnFormula>[13]Mode_PA_l_f0_b0!E2</calculatedColumnFormula>
    </tableColumn>
    <tableColumn id="8" xr3:uid="{C1996589-8716-4257-9BC3-42E65902C402}" name="|CI-delta|" dataDxfId="25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250" dataDxfId="248" headerRowBorderDxfId="249" tableBorderDxfId="247" totalsRowBorderDxfId="246">
  <autoFilter ref="A57:F65" xr:uid="{DE40A492-BBA9-4876-8724-BC64B3994271}"/>
  <tableColumns count="6">
    <tableColumn id="1" xr3:uid="{E34199D2-D5CB-45DC-96B2-AAECCF32344B}" name="Predictors" dataDxfId="245">
      <calculatedColumnFormula>A25</calculatedColumnFormula>
    </tableColumn>
    <tableColumn id="2" xr3:uid="{BF536D58-8825-421A-A286-3483AB4A0DBA}" name="Estimates" dataDxfId="244">
      <calculatedColumnFormula>[15]Mode_PA_h_f0_b0!B2</calculatedColumnFormula>
    </tableColumn>
    <tableColumn id="6" xr3:uid="{51E253F3-5545-4607-87E2-3713F0C79ED0}" name="2.5% CI" dataDxfId="243">
      <calculatedColumnFormula>[15]Mode_PA_h_f0_b0!C2</calculatedColumnFormula>
    </tableColumn>
    <tableColumn id="5" xr3:uid="{39D9684C-88E4-42B1-822E-8BF560658BA3}" name="97.5% CI" dataDxfId="242">
      <calculatedColumnFormula>[15]Mode_PA_h_f0_b0!D2</calculatedColumnFormula>
    </tableColumn>
    <tableColumn id="4" xr3:uid="{4F3547A1-CB2A-4E98-A68E-DF4170001DC3}" name="std.error" dataDxfId="241">
      <calculatedColumnFormula>[15]Mode_PA_h_f0_b0!E2</calculatedColumnFormula>
    </tableColumn>
    <tableColumn id="8" xr3:uid="{91174BE1-7871-4821-9200-FC6E6061BBAE}" name="|CI-delta|" dataDxfId="24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239" dataDxfId="237" headerRowBorderDxfId="238" tableBorderDxfId="236" totalsRowBorderDxfId="235">
  <autoFilter ref="A24:F32" xr:uid="{31E79EDA-219D-4CFA-8AA6-6A991A81B772}"/>
  <tableColumns count="6">
    <tableColumn id="1" xr3:uid="{25702B6E-B402-46EF-BB07-89FAEF761F4F}" name="Predictors" dataDxfId="234"/>
    <tableColumn id="2" xr3:uid="{55B41C0A-72EC-4198-AA0E-BDC398F9A9B6}" name="Estimates" dataDxfId="233">
      <calculatedColumnFormula>[17]Mode_PA_l_t_b0!B2</calculatedColumnFormula>
    </tableColumn>
    <tableColumn id="6" xr3:uid="{6F9FB966-53EF-492A-8818-43E47D6A804A}" name="2.5% CI" dataDxfId="232">
      <calculatedColumnFormula>[17]Mode_PA_l_t_b0!C2</calculatedColumnFormula>
    </tableColumn>
    <tableColumn id="5" xr3:uid="{79B4821D-DF78-4C65-827E-002BD888F3B1}" name="97.5% CI" dataDxfId="231">
      <calculatedColumnFormula>[17]Mode_PA_l_t_b0!D2</calculatedColumnFormula>
    </tableColumn>
    <tableColumn id="7" xr3:uid="{01175348-29DC-4F27-B480-262E1C115CFD}" name="std.error" dataDxfId="230">
      <calculatedColumnFormula>[17]Mode_PA_l_t_b0!E2</calculatedColumnFormula>
    </tableColumn>
    <tableColumn id="8" xr3:uid="{E2CC2F45-52B6-411C-8857-874E710E7E9B}" name="|CI-delta|" dataDxfId="22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228" dataDxfId="226" headerRowBorderDxfId="227" tableBorderDxfId="225" totalsRowBorderDxfId="224">
  <autoFilter ref="A35:F43" xr:uid="{873E651E-364D-4C9A-AC67-F669F1DC98F7}"/>
  <tableColumns count="6">
    <tableColumn id="1" xr3:uid="{13F39383-83C5-45EF-A3DC-AB048CB47D6B}" name="Predictors" dataDxfId="223">
      <calculatedColumnFormula>A25</calculatedColumnFormula>
    </tableColumn>
    <tableColumn id="2" xr3:uid="{FC01EC59-6FE5-4984-BD8C-56885D9A31B8}" name="Estimates" dataDxfId="222">
      <calculatedColumnFormula>[19]Mode_PA_h_t_b0!B2</calculatedColumnFormula>
    </tableColumn>
    <tableColumn id="6" xr3:uid="{123C5CEC-9EE4-42F1-8816-CAF425B9D6D8}" name="2.5% CI" dataDxfId="221">
      <calculatedColumnFormula>[19]Mode_PA_h_t_b0!C2</calculatedColumnFormula>
    </tableColumn>
    <tableColumn id="5" xr3:uid="{92067161-C954-46A0-8425-5016FA39924E}" name="97.5% CI" dataDxfId="220">
      <calculatedColumnFormula>[19]Mode_PA_h_t_b0!D2</calculatedColumnFormula>
    </tableColumn>
    <tableColumn id="4" xr3:uid="{EE36E7A7-1D0E-40E4-B2DF-C9C6E2F96C9B}" name="std.error" dataDxfId="219">
      <calculatedColumnFormula>[19]Mode_PA_h_t_b0!E2</calculatedColumnFormula>
    </tableColumn>
    <tableColumn id="8" xr3:uid="{017AD943-F50D-4872-8482-F88D6E168424}" name="|CI-delta|" dataDxfId="21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sqref="A1:J1"/>
    </sheetView>
  </sheetViews>
  <sheetFormatPr defaultColWidth="8.85546875" defaultRowHeight="15" x14ac:dyDescent="0.25"/>
  <cols>
    <col min="1" max="1" width="17.140625" style="114" customWidth="1"/>
    <col min="2" max="5" width="11.85546875" style="118" customWidth="1"/>
    <col min="6" max="10" width="11.85546875" style="114" customWidth="1"/>
    <col min="11" max="14" width="11.85546875" style="118" customWidth="1"/>
    <col min="15" max="15" width="10.42578125" style="117" bestFit="1" customWidth="1"/>
    <col min="16" max="16" width="11.5703125" style="116" bestFit="1" customWidth="1"/>
    <col min="17" max="17" width="12" style="114" bestFit="1" customWidth="1"/>
    <col min="18" max="18" width="10.140625" style="114" bestFit="1" customWidth="1"/>
    <col min="19" max="19" width="6" style="114" bestFit="1" customWidth="1"/>
    <col min="20" max="20" width="10.42578125" style="114" bestFit="1" customWidth="1"/>
    <col min="21" max="21" width="12.42578125" style="114" bestFit="1" customWidth="1"/>
    <col min="22" max="22" width="9.140625" style="114" bestFit="1" customWidth="1"/>
    <col min="23" max="23" width="12.7109375" style="114" bestFit="1" customWidth="1"/>
    <col min="24" max="24" width="10.42578125" style="114" bestFit="1" customWidth="1"/>
    <col min="25" max="25" width="11.5703125" style="114" bestFit="1" customWidth="1"/>
    <col min="26" max="26" width="14.28515625" style="114" bestFit="1" customWidth="1"/>
    <col min="27" max="27" width="12.28515625" style="114" customWidth="1"/>
    <col min="28" max="28" width="12.7109375" style="115" bestFit="1" customWidth="1"/>
    <col min="29" max="29" width="12.7109375" style="114" bestFit="1" customWidth="1"/>
    <col min="30" max="30" width="12" style="114" bestFit="1" customWidth="1"/>
    <col min="31" max="31" width="12.7109375" style="114" bestFit="1" customWidth="1"/>
    <col min="32" max="32" width="12" style="114" customWidth="1"/>
    <col min="33" max="33" width="13" style="114" customWidth="1"/>
    <col min="34" max="16384" width="8.85546875" style="114"/>
  </cols>
  <sheetData>
    <row r="1" spans="1:26" s="272" customFormat="1" ht="24" customHeight="1" thickBot="1" x14ac:dyDescent="0.35">
      <c r="A1" s="276" t="s">
        <v>74</v>
      </c>
      <c r="B1" s="276"/>
      <c r="C1" s="276"/>
      <c r="D1" s="276"/>
      <c r="E1" s="276"/>
      <c r="F1" s="276"/>
      <c r="G1" s="276"/>
      <c r="H1" s="276"/>
      <c r="I1" s="276"/>
      <c r="J1" s="276"/>
      <c r="K1" s="270"/>
      <c r="L1" s="277" t="s">
        <v>79</v>
      </c>
      <c r="M1" s="277"/>
      <c r="N1" s="277"/>
      <c r="O1" s="271"/>
      <c r="P1" s="271"/>
    </row>
    <row r="2" spans="1:26" s="248" customFormat="1" ht="15.75" customHeight="1" thickTop="1" thickBot="1" x14ac:dyDescent="0.3">
      <c r="A2" s="182" t="str">
        <f>A25</f>
        <v>MDC</v>
      </c>
      <c r="B2" s="182" t="s">
        <v>33</v>
      </c>
      <c r="C2" s="182" t="str">
        <f t="shared" ref="C2:J2" si="0">C$24</f>
        <v>2.5% CI</v>
      </c>
      <c r="D2" s="182" t="str">
        <f t="shared" si="0"/>
        <v>97.5% CI</v>
      </c>
      <c r="E2" s="182" t="str">
        <f t="shared" si="0"/>
        <v>std.error</v>
      </c>
      <c r="F2" s="182" t="str">
        <f t="shared" si="0"/>
        <v>z.value</v>
      </c>
      <c r="G2" s="182" t="str">
        <f t="shared" si="0"/>
        <v>df</v>
      </c>
      <c r="H2" s="182" t="str">
        <f t="shared" si="0"/>
        <v>p.value</v>
      </c>
      <c r="I2" s="182" t="str">
        <f t="shared" si="0"/>
        <v>p.adj (BH)</v>
      </c>
      <c r="J2" s="182" t="str">
        <f t="shared" si="0"/>
        <v>signif.</v>
      </c>
      <c r="L2" s="47" t="s">
        <v>70</v>
      </c>
      <c r="M2" s="47" t="s">
        <v>71</v>
      </c>
      <c r="N2" s="47" t="s">
        <v>72</v>
      </c>
    </row>
    <row r="3" spans="1:26" s="248" customFormat="1" ht="15.75" customHeight="1" thickTop="1" thickBot="1" x14ac:dyDescent="0.3">
      <c r="A3" s="186" t="s">
        <v>58</v>
      </c>
      <c r="B3" s="187">
        <f t="shared" ref="B3:J3" si="1">B38</f>
        <v>84.262</v>
      </c>
      <c r="C3" s="187">
        <f t="shared" si="1"/>
        <v>80.634898090073094</v>
      </c>
      <c r="D3" s="187">
        <f t="shared" si="1"/>
        <v>87.889521622177298</v>
      </c>
      <c r="E3" s="186">
        <f t="shared" si="1"/>
        <v>1.657</v>
      </c>
      <c r="F3" s="186">
        <f t="shared" si="1"/>
        <v>50.838000000000001</v>
      </c>
      <c r="G3" s="186">
        <f t="shared" si="1"/>
        <v>11.54</v>
      </c>
      <c r="H3" s="273">
        <f t="shared" si="1"/>
        <v>6.1999999999999998E-15</v>
      </c>
      <c r="I3" s="273">
        <f t="shared" si="1"/>
        <v>2.5000000000000001E-14</v>
      </c>
      <c r="J3" s="189" t="str">
        <f t="shared" si="1"/>
        <v>p&lt;0.0001</v>
      </c>
      <c r="L3" s="213" t="s">
        <v>41</v>
      </c>
      <c r="M3" s="258">
        <f>[1]Mode_l_f0_r2!$B$3</f>
        <v>3.8351665334162899E-2</v>
      </c>
      <c r="N3" s="258">
        <f>[1]Mode_l_f0_r2!$B$2</f>
        <v>0.92799109672532598</v>
      </c>
    </row>
    <row r="4" spans="1:26" s="248" customFormat="1" ht="15.75" customHeight="1" thickBot="1" x14ac:dyDescent="0.3">
      <c r="A4" s="190" t="s">
        <v>59</v>
      </c>
      <c r="B4" s="190">
        <f t="shared" ref="B4:J4" si="2">B44</f>
        <v>90.093999999999994</v>
      </c>
      <c r="C4" s="190">
        <f t="shared" si="2"/>
        <v>86.076363660855506</v>
      </c>
      <c r="D4" s="190">
        <f t="shared" si="2"/>
        <v>94.112041878367805</v>
      </c>
      <c r="E4" s="191">
        <f t="shared" si="2"/>
        <v>1.78</v>
      </c>
      <c r="F4" s="191">
        <f t="shared" si="2"/>
        <v>50.613</v>
      </c>
      <c r="G4" s="191">
        <f t="shared" si="2"/>
        <v>9.1300000000000008</v>
      </c>
      <c r="H4" s="274">
        <f t="shared" si="2"/>
        <v>1.7E-12</v>
      </c>
      <c r="I4" s="274">
        <f t="shared" si="2"/>
        <v>3.4000000000000001E-12</v>
      </c>
      <c r="J4" s="193" t="str">
        <f t="shared" si="2"/>
        <v>p&lt;0.0001</v>
      </c>
      <c r="L4" s="216" t="s">
        <v>42</v>
      </c>
      <c r="M4" s="259">
        <f>[2]Mode_h_f0_r2!$B$3</f>
        <v>9.5347789908128699E-2</v>
      </c>
      <c r="N4" s="259">
        <f>[2]Mode_h_f0_r2!$B$2</f>
        <v>0.87755115375023396</v>
      </c>
    </row>
    <row r="5" spans="1:26" s="248" customFormat="1" ht="15.75" customHeight="1" thickBot="1" x14ac:dyDescent="0.3">
      <c r="A5" s="194" t="s">
        <v>46</v>
      </c>
      <c r="B5" s="194">
        <f t="shared" ref="B5:J5" si="3">B25</f>
        <v>66.206999999999994</v>
      </c>
      <c r="C5" s="194">
        <f t="shared" si="3"/>
        <v>43.514616892347199</v>
      </c>
      <c r="D5" s="194">
        <f t="shared" si="3"/>
        <v>88.899362418405701</v>
      </c>
      <c r="E5" s="190">
        <f t="shared" si="3"/>
        <v>10.45</v>
      </c>
      <c r="F5" s="191">
        <f t="shared" si="3"/>
        <v>6.3360000000000003</v>
      </c>
      <c r="G5" s="191">
        <f t="shared" si="3"/>
        <v>12.38</v>
      </c>
      <c r="H5" s="274">
        <f t="shared" si="3"/>
        <v>3.3000000000000003E-5</v>
      </c>
      <c r="I5" s="274">
        <f t="shared" si="3"/>
        <v>5.1999999999999997E-5</v>
      </c>
      <c r="J5" s="193" t="str">
        <f t="shared" si="3"/>
        <v>p&lt;0.0001</v>
      </c>
      <c r="L5" s="219" t="s">
        <v>4</v>
      </c>
      <c r="M5" s="259">
        <f>[3]Mode_l_t_r2!$B$3</f>
        <v>5.4608297896494802E-2</v>
      </c>
      <c r="N5" s="259">
        <f>[3]Mode_l_t_r2!$B$2</f>
        <v>0.77487713461109398</v>
      </c>
    </row>
    <row r="6" spans="1:26" s="248" customFormat="1" ht="15.75" customHeight="1" x14ac:dyDescent="0.25">
      <c r="A6" s="194" t="s">
        <v>45</v>
      </c>
      <c r="B6" s="194">
        <f t="shared" ref="B6:J6" si="4">B31</f>
        <v>267.09500000000003</v>
      </c>
      <c r="C6" s="194">
        <f t="shared" si="4"/>
        <v>186.65039216949501</v>
      </c>
      <c r="D6" s="194">
        <f t="shared" si="4"/>
        <v>347.53945100447299</v>
      </c>
      <c r="E6" s="190">
        <f t="shared" si="4"/>
        <v>31.193000000000001</v>
      </c>
      <c r="F6" s="191">
        <f t="shared" si="4"/>
        <v>8.5630000000000006</v>
      </c>
      <c r="G6" s="191">
        <f t="shared" si="4"/>
        <v>4.95</v>
      </c>
      <c r="H6" s="274">
        <f t="shared" si="4"/>
        <v>3.8000000000000002E-4</v>
      </c>
      <c r="I6" s="274">
        <f t="shared" si="4"/>
        <v>5.1999999999999995E-4</v>
      </c>
      <c r="J6" s="193" t="str">
        <f t="shared" si="4"/>
        <v>p&lt;0.001</v>
      </c>
      <c r="L6" s="220" t="s">
        <v>3</v>
      </c>
      <c r="M6" s="259">
        <f>[4]Mode_h_t_r2!$B$3</f>
        <v>9.8314637587148292E-3</v>
      </c>
      <c r="N6" s="259">
        <f>[4]Mode_h_t_r2!$B$2</f>
        <v>0.85446438419230797</v>
      </c>
    </row>
    <row r="7" spans="1:26" s="248" customFormat="1" ht="15.75" customHeight="1" thickBot="1" x14ac:dyDescent="0.3">
      <c r="A7" s="196" t="str">
        <f>A26</f>
        <v>MWH</v>
      </c>
      <c r="B7" s="196" t="s">
        <v>33</v>
      </c>
      <c r="C7" s="196" t="str">
        <f t="shared" ref="C7:J7" si="5">C$24</f>
        <v>2.5% CI</v>
      </c>
      <c r="D7" s="196" t="str">
        <f t="shared" si="5"/>
        <v>97.5% CI</v>
      </c>
      <c r="E7" s="196" t="str">
        <f t="shared" si="5"/>
        <v>std.error</v>
      </c>
      <c r="F7" s="196" t="str">
        <f t="shared" si="5"/>
        <v>z.value</v>
      </c>
      <c r="G7" s="196" t="str">
        <f t="shared" si="5"/>
        <v>df</v>
      </c>
      <c r="H7" s="196" t="str">
        <f t="shared" si="5"/>
        <v>p.value</v>
      </c>
      <c r="I7" s="196" t="str">
        <f t="shared" si="5"/>
        <v>p.adj (BH)</v>
      </c>
      <c r="J7" s="196" t="str">
        <f t="shared" si="5"/>
        <v>signif.</v>
      </c>
    </row>
    <row r="8" spans="1:26" s="248" customFormat="1" ht="15.75" customHeight="1" x14ac:dyDescent="0.25">
      <c r="A8" s="186" t="s">
        <v>58</v>
      </c>
      <c r="B8" s="187">
        <f t="shared" ref="B8:J8" si="6">B39</f>
        <v>84.387</v>
      </c>
      <c r="C8" s="187">
        <f t="shared" si="6"/>
        <v>80.759157436588893</v>
      </c>
      <c r="D8" s="187">
        <f t="shared" si="6"/>
        <v>88.013981670640902</v>
      </c>
      <c r="E8" s="186">
        <f t="shared" si="6"/>
        <v>1.6579999999999999</v>
      </c>
      <c r="F8" s="186">
        <f t="shared" si="6"/>
        <v>50.911000000000001</v>
      </c>
      <c r="G8" s="186">
        <f t="shared" si="6"/>
        <v>11.54</v>
      </c>
      <c r="H8" s="188">
        <f t="shared" si="6"/>
        <v>5.9999999999999997E-15</v>
      </c>
      <c r="I8" s="188">
        <f t="shared" si="6"/>
        <v>2.5000000000000001E-14</v>
      </c>
      <c r="J8" s="189" t="str">
        <f t="shared" si="6"/>
        <v>p&lt;0.0001</v>
      </c>
    </row>
    <row r="9" spans="1:26" s="248" customFormat="1" ht="15.75" customHeight="1" x14ac:dyDescent="0.25">
      <c r="A9" s="190" t="s">
        <v>59</v>
      </c>
      <c r="B9" s="190">
        <f t="shared" ref="B9:J9" si="7">B45</f>
        <v>90.501000000000005</v>
      </c>
      <c r="C9" s="190">
        <f t="shared" si="7"/>
        <v>86.482542607305106</v>
      </c>
      <c r="D9" s="190">
        <f t="shared" si="7"/>
        <v>94.518498929950795</v>
      </c>
      <c r="E9" s="191">
        <f t="shared" si="7"/>
        <v>1.78</v>
      </c>
      <c r="F9" s="191">
        <f t="shared" si="7"/>
        <v>50.837000000000003</v>
      </c>
      <c r="G9" s="191">
        <f t="shared" si="7"/>
        <v>9.14</v>
      </c>
      <c r="H9" s="192">
        <f t="shared" si="7"/>
        <v>1.6E-12</v>
      </c>
      <c r="I9" s="192">
        <f t="shared" si="7"/>
        <v>3.3000000000000001E-12</v>
      </c>
      <c r="J9" s="193" t="str">
        <f t="shared" si="7"/>
        <v>p&lt;0.0001</v>
      </c>
    </row>
    <row r="10" spans="1:26" s="248" customFormat="1" ht="15.75" customHeight="1" x14ac:dyDescent="0.25">
      <c r="A10" s="194" t="s">
        <v>46</v>
      </c>
      <c r="B10" s="194">
        <f t="shared" ref="B10:J10" si="8">B26</f>
        <v>66.611000000000004</v>
      </c>
      <c r="C10" s="194">
        <f t="shared" si="8"/>
        <v>43.916594525232803</v>
      </c>
      <c r="D10" s="194">
        <f t="shared" si="8"/>
        <v>89.304848267984895</v>
      </c>
      <c r="E10" s="190">
        <f t="shared" si="8"/>
        <v>10.451000000000001</v>
      </c>
      <c r="F10" s="191">
        <f t="shared" si="8"/>
        <v>6.3730000000000002</v>
      </c>
      <c r="G10" s="191">
        <f t="shared" si="8"/>
        <v>12.38</v>
      </c>
      <c r="H10" s="192">
        <f t="shared" si="8"/>
        <v>3.1000000000000001E-5</v>
      </c>
      <c r="I10" s="192">
        <f t="shared" si="8"/>
        <v>5.0000000000000002E-5</v>
      </c>
      <c r="J10" s="193" t="str">
        <f t="shared" si="8"/>
        <v>p&lt;0.0001</v>
      </c>
    </row>
    <row r="11" spans="1:26" s="248" customFormat="1" ht="15.75" customHeight="1" x14ac:dyDescent="0.25">
      <c r="A11" s="194" t="s">
        <v>45</v>
      </c>
      <c r="B11" s="194">
        <f t="shared" ref="B11:J11" si="9">B32</f>
        <v>266.72199999999998</v>
      </c>
      <c r="C11" s="194">
        <f t="shared" si="9"/>
        <v>186.278721708294</v>
      </c>
      <c r="D11" s="194">
        <f t="shared" si="9"/>
        <v>347.16607047559103</v>
      </c>
      <c r="E11" s="190">
        <f t="shared" si="9"/>
        <v>31.195</v>
      </c>
      <c r="F11" s="191">
        <f t="shared" si="9"/>
        <v>8.5500000000000007</v>
      </c>
      <c r="G11" s="191">
        <f t="shared" si="9"/>
        <v>4.95</v>
      </c>
      <c r="H11" s="192">
        <f t="shared" si="9"/>
        <v>3.8000000000000002E-4</v>
      </c>
      <c r="I11" s="192">
        <f t="shared" si="9"/>
        <v>5.1999999999999995E-4</v>
      </c>
      <c r="J11" s="193" t="str">
        <f t="shared" si="9"/>
        <v>p&lt;0.001</v>
      </c>
      <c r="K11" s="249"/>
      <c r="L11" s="250"/>
      <c r="M11" s="250"/>
      <c r="N11" s="251"/>
      <c r="Z11" s="251"/>
    </row>
    <row r="12" spans="1:26" s="248" customFormat="1" ht="15.75" customHeight="1" thickBot="1" x14ac:dyDescent="0.3">
      <c r="A12" s="196" t="str">
        <f>A27</f>
        <v>MYN</v>
      </c>
      <c r="B12" s="196" t="s">
        <v>33</v>
      </c>
      <c r="C12" s="196" t="str">
        <f t="shared" ref="C12:J12" si="10">C$24</f>
        <v>2.5% CI</v>
      </c>
      <c r="D12" s="196" t="str">
        <f t="shared" si="10"/>
        <v>97.5% CI</v>
      </c>
      <c r="E12" s="196" t="str">
        <f t="shared" si="10"/>
        <v>std.error</v>
      </c>
      <c r="F12" s="196" t="str">
        <f t="shared" si="10"/>
        <v>z.value</v>
      </c>
      <c r="G12" s="196" t="str">
        <f t="shared" si="10"/>
        <v>df</v>
      </c>
      <c r="H12" s="196" t="str">
        <f t="shared" si="10"/>
        <v>p.value</v>
      </c>
      <c r="I12" s="196" t="str">
        <f t="shared" si="10"/>
        <v>p.adj (BH)</v>
      </c>
      <c r="J12" s="196" t="str">
        <f t="shared" si="10"/>
        <v>signif.</v>
      </c>
      <c r="K12" s="249"/>
      <c r="L12" s="249"/>
      <c r="M12" s="250"/>
      <c r="N12" s="252"/>
      <c r="Z12" s="251"/>
    </row>
    <row r="13" spans="1:26" s="248" customFormat="1" ht="15.75" customHeight="1" x14ac:dyDescent="0.25">
      <c r="A13" s="186" t="s">
        <v>58</v>
      </c>
      <c r="B13" s="187">
        <f t="shared" ref="B13:J13" si="11">B40</f>
        <v>85.884</v>
      </c>
      <c r="C13" s="187">
        <f t="shared" si="11"/>
        <v>82.257315012199697</v>
      </c>
      <c r="D13" s="187">
        <f t="shared" si="11"/>
        <v>89.509953450877504</v>
      </c>
      <c r="E13" s="186">
        <f t="shared" si="11"/>
        <v>1.657</v>
      </c>
      <c r="F13" s="186">
        <f t="shared" si="11"/>
        <v>51.843000000000004</v>
      </c>
      <c r="G13" s="186">
        <f t="shared" si="11"/>
        <v>11.52</v>
      </c>
      <c r="H13" s="188">
        <f t="shared" si="11"/>
        <v>5.2000000000000001E-15</v>
      </c>
      <c r="I13" s="188">
        <f t="shared" si="11"/>
        <v>2.3999999999999999E-14</v>
      </c>
      <c r="J13" s="189" t="str">
        <f t="shared" si="11"/>
        <v>p&lt;0.0001</v>
      </c>
      <c r="K13" s="249"/>
      <c r="L13" s="249"/>
      <c r="M13" s="250"/>
      <c r="N13" s="252"/>
      <c r="Z13" s="251"/>
    </row>
    <row r="14" spans="1:26" s="248" customFormat="1" ht="15.75" customHeight="1" x14ac:dyDescent="0.25">
      <c r="A14" s="190" t="s">
        <v>59</v>
      </c>
      <c r="B14" s="190">
        <f t="shared" ref="B14:J14" si="12">B46</f>
        <v>91.813000000000002</v>
      </c>
      <c r="C14" s="190">
        <f t="shared" si="12"/>
        <v>87.796729947601094</v>
      </c>
      <c r="D14" s="190">
        <f t="shared" si="12"/>
        <v>95.829644685119007</v>
      </c>
      <c r="E14" s="191">
        <f t="shared" si="12"/>
        <v>1.7789999999999999</v>
      </c>
      <c r="F14" s="191">
        <f t="shared" si="12"/>
        <v>51.621000000000002</v>
      </c>
      <c r="G14" s="191">
        <f t="shared" si="12"/>
        <v>9.1</v>
      </c>
      <c r="H14" s="192">
        <f t="shared" si="12"/>
        <v>1.5000000000000001E-12</v>
      </c>
      <c r="I14" s="192">
        <f t="shared" si="12"/>
        <v>3.2000000000000001E-12</v>
      </c>
      <c r="J14" s="193" t="str">
        <f t="shared" si="12"/>
        <v>p&lt;0.0001</v>
      </c>
      <c r="K14" s="249"/>
      <c r="L14" s="249"/>
      <c r="M14" s="250"/>
      <c r="N14" s="252"/>
      <c r="Z14" s="251"/>
    </row>
    <row r="15" spans="1:26" s="248" customFormat="1" ht="15.75" customHeight="1" x14ac:dyDescent="0.25">
      <c r="A15" s="194" t="s">
        <v>46</v>
      </c>
      <c r="B15" s="194">
        <f t="shared" ref="B15:J15" si="13">B27</f>
        <v>63.911999999999999</v>
      </c>
      <c r="C15" s="194">
        <f t="shared" si="13"/>
        <v>41.242903273445002</v>
      </c>
      <c r="D15" s="194">
        <f t="shared" si="13"/>
        <v>86.580525272490505</v>
      </c>
      <c r="E15" s="190">
        <f t="shared" si="13"/>
        <v>10.433</v>
      </c>
      <c r="F15" s="191">
        <f t="shared" si="13"/>
        <v>6.1260000000000003</v>
      </c>
      <c r="G15" s="191">
        <f t="shared" si="13"/>
        <v>12.3</v>
      </c>
      <c r="H15" s="192">
        <f t="shared" si="13"/>
        <v>4.6E-5</v>
      </c>
      <c r="I15" s="192">
        <f t="shared" si="13"/>
        <v>6.9999999999999994E-5</v>
      </c>
      <c r="J15" s="193" t="str">
        <f t="shared" si="13"/>
        <v>p&lt;0.0001</v>
      </c>
      <c r="K15" s="249"/>
      <c r="L15" s="249"/>
      <c r="M15" s="250"/>
      <c r="N15" s="252"/>
      <c r="Z15" s="251"/>
    </row>
    <row r="16" spans="1:26" s="248" customFormat="1" ht="15.75" customHeight="1" x14ac:dyDescent="0.25">
      <c r="A16" s="194" t="s">
        <v>45</v>
      </c>
      <c r="B16" s="194">
        <f t="shared" ref="B16:J16" si="14">B28</f>
        <v>45.158999999999999</v>
      </c>
      <c r="C16" s="194">
        <f t="shared" si="14"/>
        <v>22.545726930497</v>
      </c>
      <c r="D16" s="194">
        <f t="shared" si="14"/>
        <v>67.771491195103906</v>
      </c>
      <c r="E16" s="190">
        <f t="shared" si="14"/>
        <v>10.391999999999999</v>
      </c>
      <c r="F16" s="191">
        <f t="shared" si="14"/>
        <v>4.3460000000000001</v>
      </c>
      <c r="G16" s="191">
        <f t="shared" si="14"/>
        <v>12.14</v>
      </c>
      <c r="H16" s="192">
        <f t="shared" si="14"/>
        <v>9.3000000000000005E-4</v>
      </c>
      <c r="I16" s="192">
        <f t="shared" si="14"/>
        <v>1E-3</v>
      </c>
      <c r="J16" s="193" t="str">
        <f t="shared" si="14"/>
        <v>p&lt;0.01</v>
      </c>
      <c r="K16" s="249"/>
      <c r="L16" s="249"/>
      <c r="M16" s="250"/>
      <c r="N16" s="252"/>
      <c r="Z16" s="251"/>
    </row>
    <row r="17" spans="1:52" s="248" customFormat="1" ht="15.75" customHeight="1" thickBot="1" x14ac:dyDescent="0.3">
      <c r="A17" s="196" t="str">
        <f>A33</f>
        <v>MYN</v>
      </c>
      <c r="B17" s="196" t="s">
        <v>33</v>
      </c>
      <c r="C17" s="196" t="str">
        <f t="shared" ref="C17:J17" si="15">C$24</f>
        <v>2.5% CI</v>
      </c>
      <c r="D17" s="196" t="str">
        <f t="shared" si="15"/>
        <v>97.5% CI</v>
      </c>
      <c r="E17" s="196" t="str">
        <f t="shared" si="15"/>
        <v>std.error</v>
      </c>
      <c r="F17" s="196" t="str">
        <f t="shared" si="15"/>
        <v>z.value</v>
      </c>
      <c r="G17" s="196" t="str">
        <f t="shared" si="15"/>
        <v>df</v>
      </c>
      <c r="H17" s="196" t="str">
        <f t="shared" si="15"/>
        <v>p.value</v>
      </c>
      <c r="I17" s="196" t="str">
        <f t="shared" si="15"/>
        <v>p.adj (BH)</v>
      </c>
      <c r="J17" s="196" t="str">
        <f t="shared" si="15"/>
        <v>signif.</v>
      </c>
      <c r="K17" s="249"/>
      <c r="L17" s="249"/>
      <c r="M17" s="250"/>
      <c r="N17" s="252"/>
      <c r="Z17" s="251"/>
    </row>
    <row r="18" spans="1:52" s="248" customFormat="1" ht="15.75" customHeight="1" x14ac:dyDescent="0.25">
      <c r="A18" s="186" t="s">
        <v>58</v>
      </c>
      <c r="B18" s="187">
        <f t="shared" ref="B18:J18" si="16">B41</f>
        <v>86.745000000000005</v>
      </c>
      <c r="C18" s="187">
        <f t="shared" si="16"/>
        <v>83.120559517265207</v>
      </c>
      <c r="D18" s="187">
        <f t="shared" si="16"/>
        <v>90.369299039297601</v>
      </c>
      <c r="E18" s="186">
        <f t="shared" si="16"/>
        <v>1.655</v>
      </c>
      <c r="F18" s="186">
        <f t="shared" si="16"/>
        <v>52.414000000000001</v>
      </c>
      <c r="G18" s="186">
        <f t="shared" si="16"/>
        <v>11.47</v>
      </c>
      <c r="H18" s="188">
        <f t="shared" si="16"/>
        <v>5.1E-15</v>
      </c>
      <c r="I18" s="188">
        <f t="shared" si="16"/>
        <v>2.3999999999999999E-14</v>
      </c>
      <c r="J18" s="189" t="str">
        <f t="shared" si="16"/>
        <v>p&lt;0.0001</v>
      </c>
      <c r="K18" s="249"/>
      <c r="L18" s="249"/>
      <c r="M18" s="250"/>
      <c r="N18" s="252"/>
      <c r="Z18" s="251"/>
    </row>
    <row r="19" spans="1:52" s="248" customFormat="1" ht="15.75" customHeight="1" x14ac:dyDescent="0.25">
      <c r="A19" s="190" t="s">
        <v>59</v>
      </c>
      <c r="B19" s="190">
        <f t="shared" ref="B19:J19" si="17">B47</f>
        <v>94.606999999999999</v>
      </c>
      <c r="C19" s="190">
        <f t="shared" si="17"/>
        <v>90.593224015084004</v>
      </c>
      <c r="D19" s="190">
        <f t="shared" si="17"/>
        <v>98.620264099471996</v>
      </c>
      <c r="E19" s="191">
        <f t="shared" si="17"/>
        <v>1.776</v>
      </c>
      <c r="F19" s="191">
        <f t="shared" si="17"/>
        <v>53.283999999999999</v>
      </c>
      <c r="G19" s="191">
        <f t="shared" si="17"/>
        <v>9.0399999999999991</v>
      </c>
      <c r="H19" s="192">
        <f t="shared" si="17"/>
        <v>1.2999999999999999E-12</v>
      </c>
      <c r="I19" s="192">
        <f t="shared" si="17"/>
        <v>2.9000000000000002E-12</v>
      </c>
      <c r="J19" s="193" t="str">
        <f t="shared" si="17"/>
        <v>p&lt;0.0001</v>
      </c>
      <c r="K19" s="249"/>
      <c r="L19" s="249"/>
      <c r="M19" s="250"/>
      <c r="N19" s="252"/>
      <c r="Z19" s="251"/>
    </row>
    <row r="20" spans="1:52" s="248" customFormat="1" ht="15.75" customHeight="1" x14ac:dyDescent="0.25">
      <c r="A20" s="194" t="s">
        <v>46</v>
      </c>
      <c r="B20" s="194">
        <f t="shared" ref="B20:J20" si="18">B28</f>
        <v>45.158999999999999</v>
      </c>
      <c r="C20" s="194">
        <f t="shared" si="18"/>
        <v>22.545726930497</v>
      </c>
      <c r="D20" s="194">
        <f t="shared" si="18"/>
        <v>67.771491195103906</v>
      </c>
      <c r="E20" s="190">
        <f t="shared" si="18"/>
        <v>10.391999999999999</v>
      </c>
      <c r="F20" s="191">
        <f t="shared" si="18"/>
        <v>4.3460000000000001</v>
      </c>
      <c r="G20" s="191">
        <f t="shared" si="18"/>
        <v>12.14</v>
      </c>
      <c r="H20" s="192">
        <f t="shared" si="18"/>
        <v>9.3000000000000005E-4</v>
      </c>
      <c r="I20" s="192">
        <f t="shared" si="18"/>
        <v>1E-3</v>
      </c>
      <c r="J20" s="193" t="str">
        <f t="shared" si="18"/>
        <v>p&lt;0.01</v>
      </c>
      <c r="K20" s="249"/>
      <c r="L20" s="249"/>
      <c r="M20" s="250"/>
      <c r="N20" s="252"/>
      <c r="Z20" s="251"/>
    </row>
    <row r="21" spans="1:52" s="248" customFormat="1" ht="15.75" customHeight="1" x14ac:dyDescent="0.25">
      <c r="A21" s="194" t="s">
        <v>45</v>
      </c>
      <c r="B21" s="194">
        <f t="shared" ref="B21:J21" si="19">B34</f>
        <v>250.261</v>
      </c>
      <c r="C21" s="194">
        <f t="shared" si="19"/>
        <v>169.79078240875299</v>
      </c>
      <c r="D21" s="194">
        <f t="shared" si="19"/>
        <v>330.73051939626401</v>
      </c>
      <c r="E21" s="190">
        <f t="shared" si="19"/>
        <v>31.146000000000001</v>
      </c>
      <c r="F21" s="191">
        <f t="shared" si="19"/>
        <v>8.0350000000000001</v>
      </c>
      <c r="G21" s="191">
        <f t="shared" si="19"/>
        <v>4.92</v>
      </c>
      <c r="H21" s="195">
        <f t="shared" si="19"/>
        <v>5.1999999999999995E-4</v>
      </c>
      <c r="I21" s="195">
        <f t="shared" si="19"/>
        <v>6.0999999999999997E-4</v>
      </c>
      <c r="J21" s="193" t="str">
        <f t="shared" si="19"/>
        <v>p&lt;0.001</v>
      </c>
      <c r="K21" s="249"/>
      <c r="L21" s="249"/>
      <c r="M21" s="250"/>
      <c r="N21" s="252"/>
      <c r="Z21" s="251"/>
    </row>
    <row r="22" spans="1:52" x14ac:dyDescent="0.25">
      <c r="D22" s="119"/>
    </row>
    <row r="23" spans="1:52" s="4" customFormat="1" ht="26.25" x14ac:dyDescent="0.25">
      <c r="A23" s="134" t="s">
        <v>10</v>
      </c>
      <c r="AB23" s="126"/>
    </row>
    <row r="24" spans="1:52" s="144" customFormat="1" x14ac:dyDescent="0.25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25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25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25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25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6.25" x14ac:dyDescent="0.25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6.25" x14ac:dyDescent="0.25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25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5.1999999999999995E-4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25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5.1999999999999995E-4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25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5.2999999999999998E-4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25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25">
      <c r="D35" s="119"/>
    </row>
    <row r="36" spans="1:25" ht="30.75" x14ac:dyDescent="0.25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25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25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2.5000000000000001E-14</v>
      </c>
      <c r="J38" s="15" t="str">
        <f>[7]Mode_l_f0_b0!J2</f>
        <v>p&lt;0.0001</v>
      </c>
      <c r="K38" s="122">
        <f>B38-C38</f>
        <v>3.6271019099269068</v>
      </c>
    </row>
    <row r="39" spans="1:25" x14ac:dyDescent="0.25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2.5000000000000001E-14</v>
      </c>
      <c r="J39" s="15" t="str">
        <f>[7]Mode_l_f0_b0!J3</f>
        <v>p&lt;0.0001</v>
      </c>
      <c r="K39" s="122">
        <f>B39-C39</f>
        <v>3.6278425634111073</v>
      </c>
    </row>
    <row r="40" spans="1:25" x14ac:dyDescent="0.25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2.3999999999999999E-14</v>
      </c>
      <c r="J40" s="15" t="str">
        <f>[7]Mode_l_f0_b0!J4</f>
        <v>p&lt;0.0001</v>
      </c>
      <c r="K40" s="122">
        <f>B40-C40</f>
        <v>3.6266849878003029</v>
      </c>
    </row>
    <row r="41" spans="1:25" x14ac:dyDescent="0.25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2.3999999999999999E-14</v>
      </c>
      <c r="J41" s="15" t="str">
        <f>[7]Mode_l_f0_b0!J5</f>
        <v>p&lt;0.0001</v>
      </c>
      <c r="K41" s="122">
        <f>B41-C41</f>
        <v>3.6244404827347978</v>
      </c>
    </row>
    <row r="42" spans="1:25" ht="30.75" x14ac:dyDescent="0.25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25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25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25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25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25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217" priority="83" operator="lessThan">
      <formula>0.05</formula>
    </cfRule>
  </conditionalFormatting>
  <conditionalFormatting sqref="H3:I6">
    <cfRule type="cellIs" dxfId="216" priority="79" stopIfTrue="1" operator="lessThan">
      <formula>0.0001</formula>
    </cfRule>
    <cfRule type="cellIs" dxfId="215" priority="80" stopIfTrue="1" operator="lessThan">
      <formula>0.001</formula>
    </cfRule>
    <cfRule type="cellIs" dxfId="214" priority="81" stopIfTrue="1" operator="lessThan">
      <formula>0.05</formula>
    </cfRule>
    <cfRule type="cellIs" dxfId="213" priority="82" stopIfTrue="1" operator="lessThan">
      <formula>0.1</formula>
    </cfRule>
  </conditionalFormatting>
  <conditionalFormatting sqref="J3:J6">
    <cfRule type="containsText" dxfId="212" priority="74" stopIfTrue="1" operator="containsText" text="p&lt;0.0001">
      <formula>NOT(ISERROR(SEARCH("p&lt;0.0001",J3)))</formula>
    </cfRule>
    <cfRule type="containsText" dxfId="211" priority="75" stopIfTrue="1" operator="containsText" text="p&lt;0.001">
      <formula>NOT(ISERROR(SEARCH("p&lt;0.001",J3)))</formula>
    </cfRule>
    <cfRule type="containsText" dxfId="210" priority="76" stopIfTrue="1" operator="containsText" text="p&lt;0.01">
      <formula>NOT(ISERROR(SEARCH("p&lt;0.01",J3)))</formula>
    </cfRule>
    <cfRule type="containsText" dxfId="209" priority="77" stopIfTrue="1" operator="containsText" text="p&lt;0.05">
      <formula>NOT(ISERROR(SEARCH("p&lt;0.05",J3)))</formula>
    </cfRule>
    <cfRule type="containsText" dxfId="208" priority="78" stopIfTrue="1" operator="containsText" text="p&lt;0.1">
      <formula>NOT(ISERROR(SEARCH("p&lt;0.1",J3)))</formula>
    </cfRule>
  </conditionalFormatting>
  <conditionalFormatting sqref="H8:I10">
    <cfRule type="cellIs" dxfId="207" priority="70" stopIfTrue="1" operator="lessThan">
      <formula>0.0001</formula>
    </cfRule>
    <cfRule type="cellIs" dxfId="206" priority="71" stopIfTrue="1" operator="lessThan">
      <formula>0.001</formula>
    </cfRule>
    <cfRule type="cellIs" dxfId="205" priority="72" stopIfTrue="1" operator="lessThan">
      <formula>0.05</formula>
    </cfRule>
    <cfRule type="cellIs" dxfId="204" priority="73" stopIfTrue="1" operator="lessThan">
      <formula>0.1</formula>
    </cfRule>
  </conditionalFormatting>
  <conditionalFormatting sqref="J8:J10">
    <cfRule type="containsText" dxfId="203" priority="65" stopIfTrue="1" operator="containsText" text="p&lt;0.0001">
      <formula>NOT(ISERROR(SEARCH("p&lt;0.0001",J8)))</formula>
    </cfRule>
    <cfRule type="containsText" dxfId="202" priority="66" stopIfTrue="1" operator="containsText" text="p&lt;0.001">
      <formula>NOT(ISERROR(SEARCH("p&lt;0.001",J8)))</formula>
    </cfRule>
    <cfRule type="containsText" dxfId="201" priority="67" stopIfTrue="1" operator="containsText" text="p&lt;0.01">
      <formula>NOT(ISERROR(SEARCH("p&lt;0.01",J8)))</formula>
    </cfRule>
    <cfRule type="containsText" dxfId="200" priority="68" stopIfTrue="1" operator="containsText" text="p&lt;0.05">
      <formula>NOT(ISERROR(SEARCH("p&lt;0.05",J8)))</formula>
    </cfRule>
    <cfRule type="containsText" dxfId="199" priority="69" stopIfTrue="1" operator="containsText" text="p&lt;0.1">
      <formula>NOT(ISERROR(SEARCH("p&lt;0.1",J8)))</formula>
    </cfRule>
  </conditionalFormatting>
  <conditionalFormatting sqref="H13:I15">
    <cfRule type="cellIs" dxfId="198" priority="61" stopIfTrue="1" operator="lessThan">
      <formula>0.0001</formula>
    </cfRule>
    <cfRule type="cellIs" dxfId="197" priority="62" stopIfTrue="1" operator="lessThan">
      <formula>0.001</formula>
    </cfRule>
    <cfRule type="cellIs" dxfId="196" priority="63" stopIfTrue="1" operator="lessThan">
      <formula>0.05</formula>
    </cfRule>
    <cfRule type="cellIs" dxfId="195" priority="64" stopIfTrue="1" operator="lessThan">
      <formula>0.1</formula>
    </cfRule>
  </conditionalFormatting>
  <conditionalFormatting sqref="J13:J15">
    <cfRule type="containsText" dxfId="194" priority="56" stopIfTrue="1" operator="containsText" text="p&lt;0.0001">
      <formula>NOT(ISERROR(SEARCH("p&lt;0.0001",J13)))</formula>
    </cfRule>
    <cfRule type="containsText" dxfId="193" priority="57" stopIfTrue="1" operator="containsText" text="p&lt;0.001">
      <formula>NOT(ISERROR(SEARCH("p&lt;0.001",J13)))</formula>
    </cfRule>
    <cfRule type="containsText" dxfId="192" priority="58" stopIfTrue="1" operator="containsText" text="p&lt;0.01">
      <formula>NOT(ISERROR(SEARCH("p&lt;0.01",J13)))</formula>
    </cfRule>
    <cfRule type="containsText" dxfId="191" priority="59" stopIfTrue="1" operator="containsText" text="p&lt;0.05">
      <formula>NOT(ISERROR(SEARCH("p&lt;0.05",J13)))</formula>
    </cfRule>
    <cfRule type="containsText" dxfId="190" priority="60" stopIfTrue="1" operator="containsText" text="p&lt;0.1">
      <formula>NOT(ISERROR(SEARCH("p&lt;0.1",J13)))</formula>
    </cfRule>
  </conditionalFormatting>
  <conditionalFormatting sqref="H18:I19 H21:I21">
    <cfRule type="cellIs" dxfId="189" priority="52" stopIfTrue="1" operator="lessThan">
      <formula>0.0001</formula>
    </cfRule>
    <cfRule type="cellIs" dxfId="188" priority="53" stopIfTrue="1" operator="lessThan">
      <formula>0.001</formula>
    </cfRule>
    <cfRule type="cellIs" dxfId="187" priority="54" stopIfTrue="1" operator="lessThan">
      <formula>0.05</formula>
    </cfRule>
    <cfRule type="cellIs" dxfId="186" priority="55" stopIfTrue="1" operator="lessThan">
      <formula>0.1</formula>
    </cfRule>
  </conditionalFormatting>
  <conditionalFormatting sqref="J18:J19 J21">
    <cfRule type="containsText" dxfId="185" priority="47" stopIfTrue="1" operator="containsText" text="p&lt;0.0001">
      <formula>NOT(ISERROR(SEARCH("p&lt;0.0001",J18)))</formula>
    </cfRule>
    <cfRule type="containsText" dxfId="184" priority="48" stopIfTrue="1" operator="containsText" text="p&lt;0.001">
      <formula>NOT(ISERROR(SEARCH("p&lt;0.001",J18)))</formula>
    </cfRule>
    <cfRule type="containsText" dxfId="183" priority="49" stopIfTrue="1" operator="containsText" text="p&lt;0.01">
      <formula>NOT(ISERROR(SEARCH("p&lt;0.01",J18)))</formula>
    </cfRule>
    <cfRule type="containsText" dxfId="182" priority="50" stopIfTrue="1" operator="containsText" text="p&lt;0.05">
      <formula>NOT(ISERROR(SEARCH("p&lt;0.05",J18)))</formula>
    </cfRule>
    <cfRule type="containsText" dxfId="181" priority="51" stopIfTrue="1" operator="containsText" text="p&lt;0.1">
      <formula>NOT(ISERROR(SEARCH("p&lt;0.1",J18)))</formula>
    </cfRule>
  </conditionalFormatting>
  <conditionalFormatting sqref="H11:I11">
    <cfRule type="cellIs" dxfId="180" priority="25" stopIfTrue="1" operator="lessThan">
      <formula>0.0001</formula>
    </cfRule>
    <cfRule type="cellIs" dxfId="179" priority="26" stopIfTrue="1" operator="lessThan">
      <formula>0.001</formula>
    </cfRule>
    <cfRule type="cellIs" dxfId="178" priority="27" stopIfTrue="1" operator="lessThan">
      <formula>0.05</formula>
    </cfRule>
    <cfRule type="cellIs" dxfId="177" priority="28" stopIfTrue="1" operator="lessThan">
      <formula>0.1</formula>
    </cfRule>
  </conditionalFormatting>
  <conditionalFormatting sqref="J11">
    <cfRule type="containsText" dxfId="176" priority="20" stopIfTrue="1" operator="containsText" text="p&lt;0.0001">
      <formula>NOT(ISERROR(SEARCH("p&lt;0.0001",J11)))</formula>
    </cfRule>
    <cfRule type="containsText" dxfId="175" priority="21" stopIfTrue="1" operator="containsText" text="p&lt;0.001">
      <formula>NOT(ISERROR(SEARCH("p&lt;0.001",J11)))</formula>
    </cfRule>
    <cfRule type="containsText" dxfId="174" priority="22" stopIfTrue="1" operator="containsText" text="p&lt;0.01">
      <formula>NOT(ISERROR(SEARCH("p&lt;0.01",J11)))</formula>
    </cfRule>
    <cfRule type="containsText" dxfId="173" priority="23" stopIfTrue="1" operator="containsText" text="p&lt;0.05">
      <formula>NOT(ISERROR(SEARCH("p&lt;0.05",J11)))</formula>
    </cfRule>
    <cfRule type="containsText" dxfId="172" priority="24" stopIfTrue="1" operator="containsText" text="p&lt;0.1">
      <formula>NOT(ISERROR(SEARCH("p&lt;0.1",J11)))</formula>
    </cfRule>
  </conditionalFormatting>
  <conditionalFormatting sqref="H16:I16">
    <cfRule type="cellIs" dxfId="171" priority="16" stopIfTrue="1" operator="lessThan">
      <formula>0.0001</formula>
    </cfRule>
    <cfRule type="cellIs" dxfId="170" priority="17" stopIfTrue="1" operator="lessThan">
      <formula>0.001</formula>
    </cfRule>
    <cfRule type="cellIs" dxfId="169" priority="18" stopIfTrue="1" operator="lessThan">
      <formula>0.05</formula>
    </cfRule>
    <cfRule type="cellIs" dxfId="168" priority="19" stopIfTrue="1" operator="lessThan">
      <formula>0.1</formula>
    </cfRule>
  </conditionalFormatting>
  <conditionalFormatting sqref="J16">
    <cfRule type="containsText" dxfId="167" priority="11" stopIfTrue="1" operator="containsText" text="p&lt;0.0001">
      <formula>NOT(ISERROR(SEARCH("p&lt;0.0001",J16)))</formula>
    </cfRule>
    <cfRule type="containsText" dxfId="166" priority="12" stopIfTrue="1" operator="containsText" text="p&lt;0.001">
      <formula>NOT(ISERROR(SEARCH("p&lt;0.001",J16)))</formula>
    </cfRule>
    <cfRule type="containsText" dxfId="165" priority="13" stopIfTrue="1" operator="containsText" text="p&lt;0.01">
      <formula>NOT(ISERROR(SEARCH("p&lt;0.01",J16)))</formula>
    </cfRule>
    <cfRule type="containsText" dxfId="164" priority="14" stopIfTrue="1" operator="containsText" text="p&lt;0.05">
      <formula>NOT(ISERROR(SEARCH("p&lt;0.05",J16)))</formula>
    </cfRule>
    <cfRule type="containsText" dxfId="163" priority="15" stopIfTrue="1" operator="containsText" text="p&lt;0.1">
      <formula>NOT(ISERROR(SEARCH("p&lt;0.1",J16)))</formula>
    </cfRule>
  </conditionalFormatting>
  <conditionalFormatting sqref="H20:I20">
    <cfRule type="cellIs" dxfId="162" priority="7" stopIfTrue="1" operator="lessThan">
      <formula>0.0001</formula>
    </cfRule>
    <cfRule type="cellIs" dxfId="161" priority="8" stopIfTrue="1" operator="lessThan">
      <formula>0.001</formula>
    </cfRule>
    <cfRule type="cellIs" dxfId="160" priority="9" stopIfTrue="1" operator="lessThan">
      <formula>0.05</formula>
    </cfRule>
    <cfRule type="cellIs" dxfId="159" priority="10" stopIfTrue="1" operator="lessThan">
      <formula>0.1</formula>
    </cfRule>
  </conditionalFormatting>
  <conditionalFormatting sqref="J20">
    <cfRule type="containsText" dxfId="158" priority="2" stopIfTrue="1" operator="containsText" text="p&lt;0.0001">
      <formula>NOT(ISERROR(SEARCH("p&lt;0.0001",J20)))</formula>
    </cfRule>
    <cfRule type="containsText" dxfId="157" priority="3" stopIfTrue="1" operator="containsText" text="p&lt;0.001">
      <formula>NOT(ISERROR(SEARCH("p&lt;0.001",J20)))</formula>
    </cfRule>
    <cfRule type="containsText" dxfId="156" priority="4" stopIfTrue="1" operator="containsText" text="p&lt;0.01">
      <formula>NOT(ISERROR(SEARCH("p&lt;0.01",J20)))</formula>
    </cfRule>
    <cfRule type="containsText" dxfId="155" priority="5" stopIfTrue="1" operator="containsText" text="p&lt;0.05">
      <formula>NOT(ISERROR(SEARCH("p&lt;0.05",J20)))</formula>
    </cfRule>
    <cfRule type="containsText" dxfId="154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zoomScaleNormal="100" workbookViewId="0"/>
  </sheetViews>
  <sheetFormatPr defaultRowHeight="15" x14ac:dyDescent="0.25"/>
  <sheetData>
    <row r="24" spans="14:14" x14ac:dyDescent="0.25">
      <c r="N24" s="197"/>
    </row>
    <row r="41" spans="3:12" x14ac:dyDescent="0.25">
      <c r="C41" s="201" t="s">
        <v>66</v>
      </c>
      <c r="D41" s="201" t="s">
        <v>67</v>
      </c>
      <c r="E41" s="201" t="s">
        <v>68</v>
      </c>
      <c r="F41" s="202" t="s">
        <v>65</v>
      </c>
      <c r="G41" s="203"/>
    </row>
    <row r="42" spans="3:12" ht="15.75" thickBot="1" x14ac:dyDescent="0.3">
      <c r="C42" s="204" t="s">
        <v>28</v>
      </c>
      <c r="D42" s="205">
        <f>_xlfn.STDEV.S('mode only B1'!B3,'mode only B1'!B8,'mode only B1'!B13,'mode only B1'!B18,'mode only B1'!B23,'mode only B1'!B28)</f>
        <v>0.89646832998531856</v>
      </c>
      <c r="E42" s="205">
        <f>_xlfn.STDEV.S('mode RTH B1'!B3,'mode RTH B1'!B8,'mode RTH B1'!B13,'mode RTH B1'!B18,'mode RTH B1'!B23,'mode RTH B1'!B28)</f>
        <v>0.57876235767944195</v>
      </c>
      <c r="F42" s="206">
        <f>D42-E42</f>
        <v>0.3177059723058766</v>
      </c>
      <c r="G42" s="203"/>
      <c r="K42" s="199"/>
      <c r="L42" s="198"/>
    </row>
    <row r="43" spans="3:12" ht="15.75" thickBot="1" x14ac:dyDescent="0.3">
      <c r="C43" s="204" t="s">
        <v>29</v>
      </c>
      <c r="D43" s="205">
        <f>_xlfn.STDEV.S('mode only B1'!B4,'mode only B1'!B9,'mode only B1'!B14,'mode only B1'!B19,'mode only B1'!B24,'mode only B1'!B29)</f>
        <v>1.6197473156843532</v>
      </c>
      <c r="E43" s="205">
        <f>_xlfn.STDEV.S('mode RTH B1'!B4,'mode RTH B1'!B9,'mode RTH B1'!B14,'mode RTH B1'!B19,'mode RTH B1'!B24,'mode RTH B1'!B29)</f>
        <v>0.70785780116254027</v>
      </c>
      <c r="F43" s="206">
        <f>D43-E43</f>
        <v>0.91188951452181288</v>
      </c>
      <c r="G43" s="203"/>
      <c r="K43" s="199"/>
      <c r="L43" s="198"/>
    </row>
    <row r="44" spans="3:12" ht="15.75" thickBot="1" x14ac:dyDescent="0.3">
      <c r="C44" s="204" t="s">
        <v>30</v>
      </c>
      <c r="D44" s="205">
        <f>_xlfn.STDEV.S('mode only B1'!B5,'mode only B1'!B10,'mode only B1'!B15,'mode only B1'!B20,'mode only B1'!B25,'mode only B1'!B30)</f>
        <v>10.440750459936616</v>
      </c>
      <c r="E44" s="205">
        <f>_xlfn.STDEV.S('mode RTH B1'!B5,'mode RTH B1'!B10,'mode RTH B1'!B15,'mode RTH B1'!B20,'mode RTH B1'!B25,'mode RTH B1'!B30)</f>
        <v>12.381236687019596</v>
      </c>
      <c r="F44" s="206">
        <f>D44-E44</f>
        <v>-1.9404862270829799</v>
      </c>
      <c r="G44" s="203"/>
      <c r="K44" s="199"/>
      <c r="L44" s="198"/>
    </row>
    <row r="45" spans="3:12" x14ac:dyDescent="0.25">
      <c r="C45" s="204" t="s">
        <v>31</v>
      </c>
      <c r="D45" s="205">
        <f>_xlfn.STDEV.S('mode only B1'!B6,'mode only B1'!B11,'mode only B1'!B16,'mode only B1'!B21,'mode only B1'!B26,'mode only B1'!B31)</f>
        <v>7.8731265305891434</v>
      </c>
      <c r="E45" s="205">
        <f>_xlfn.STDEV.S('mode RTH B1'!B6,'mode RTH B1'!B11,'mode RTH B1'!B16,'mode RTH B1'!B21,'mode RTH B1'!B26,'mode RTH B1'!B31)</f>
        <v>8.5852010576340021</v>
      </c>
      <c r="F45" s="206">
        <f>D45-E45</f>
        <v>-0.71207452704485874</v>
      </c>
      <c r="G45" s="203"/>
    </row>
    <row r="46" spans="3:12" x14ac:dyDescent="0.25">
      <c r="C46" s="207"/>
      <c r="D46" s="207"/>
      <c r="E46" s="202"/>
      <c r="F46" s="202"/>
      <c r="G46" s="203"/>
    </row>
    <row r="47" spans="3:12" ht="15" customHeight="1" x14ac:dyDescent="0.25">
      <c r="C47" s="201" t="s">
        <v>69</v>
      </c>
      <c r="D47" s="201" t="s">
        <v>67</v>
      </c>
      <c r="E47" s="201" t="s">
        <v>68</v>
      </c>
      <c r="F47" s="202" t="s">
        <v>65</v>
      </c>
      <c r="G47" s="208"/>
    </row>
    <row r="48" spans="3:12" ht="15.75" thickBot="1" x14ac:dyDescent="0.3">
      <c r="C48" s="204" t="s">
        <v>28</v>
      </c>
      <c r="D48" s="205">
        <f>AVERAGE('mode only B1'!B3,'mode only B1'!B8,'mode only B1'!B13,'mode only B1'!B18,'mode only B1'!B23,'mode only B1'!B28)</f>
        <v>1.4906666666666668</v>
      </c>
      <c r="E48" s="205">
        <f>AVERAGE('mode RTH B1'!B3,'mode RTH B1'!B8,'mode RTH B1'!B13,'mode RTH B1'!B18,'mode RTH B1'!B23,'mode RTH B1'!B28)</f>
        <v>0.70466666666666677</v>
      </c>
      <c r="F48" s="206">
        <f>D48-E48</f>
        <v>0.78600000000000003</v>
      </c>
      <c r="G48" s="203"/>
      <c r="K48" s="199"/>
      <c r="L48" s="198"/>
    </row>
    <row r="49" spans="3:12" ht="15.75" thickBot="1" x14ac:dyDescent="0.3">
      <c r="C49" s="204" t="s">
        <v>29</v>
      </c>
      <c r="D49" s="205">
        <f>AVERAGE('mode only B1'!B4,'mode only B1'!B9,'mode only B1'!B14,'mode only B1'!B19,'mode only B1'!B24,'mode only B1'!B29)</f>
        <v>2.4751666666666665</v>
      </c>
      <c r="E49" s="205">
        <f>AVERAGE('mode RTH B1'!B4,'mode RTH B1'!B9,'mode RTH B1'!B14,'mode RTH B1'!B19,'mode RTH B1'!B24,'mode RTH B1'!B29)</f>
        <v>1.2686666666666666</v>
      </c>
      <c r="F49" s="206">
        <f>D49-E49</f>
        <v>1.2064999999999999</v>
      </c>
      <c r="G49" s="203"/>
      <c r="K49" s="199"/>
      <c r="L49" s="198"/>
    </row>
    <row r="50" spans="3:12" ht="15.75" thickBot="1" x14ac:dyDescent="0.3">
      <c r="C50" s="204" t="s">
        <v>30</v>
      </c>
      <c r="D50" s="205">
        <f>AVERAGE('mode only B1'!B5,'mode only B1'!B10,'mode only B1'!B15,'mode only B1'!B20,'mode only B1'!B25,'mode only B1'!B30)</f>
        <v>-10.973833333333333</v>
      </c>
      <c r="E50" s="205">
        <f>AVERAGE('mode RTH B1'!B5,'mode RTH B1'!B10,'mode RTH B1'!B15,'mode RTH B1'!B20,'mode RTH B1'!B25,'mode RTH B1'!B30)</f>
        <v>-9.8925000000000001</v>
      </c>
      <c r="F50" s="206">
        <f>D50-E50</f>
        <v>-1.0813333333333333</v>
      </c>
      <c r="G50" s="203"/>
      <c r="K50" s="199"/>
      <c r="L50" s="198"/>
    </row>
    <row r="51" spans="3:12" x14ac:dyDescent="0.25">
      <c r="C51" s="204" t="s">
        <v>31</v>
      </c>
      <c r="D51" s="205">
        <f>AVERAGE('mode only B1'!B6,'mode only B1'!B11,'mode only B1'!B16,'mode only B1'!B21,'mode only B1'!B26,'mode only B1'!B31)</f>
        <v>-8.7681666666666658</v>
      </c>
      <c r="E51" s="205">
        <f>AVERAGE('mode RTH B1'!B6,'mode RTH B1'!B11,'mode RTH B1'!B16,'mode RTH B1'!B21,'mode RTH B1'!B26,'mode RTH B1'!B31)</f>
        <v>-7.8849999999999989</v>
      </c>
      <c r="F51" s="206">
        <f>D51-E51</f>
        <v>-0.88316666666666688</v>
      </c>
      <c r="G51" s="203"/>
    </row>
    <row r="52" spans="3:12" x14ac:dyDescent="0.25">
      <c r="C52" s="203"/>
      <c r="D52" s="203"/>
      <c r="E52" s="203"/>
      <c r="F52" s="203"/>
      <c r="G52" s="203"/>
    </row>
    <row r="53" spans="3:12" x14ac:dyDescent="0.25">
      <c r="D53" s="200" t="str">
        <f>D47</f>
        <v>mode-only</v>
      </c>
      <c r="E53" s="200" t="str">
        <f>E47</f>
        <v>mode+phon</v>
      </c>
      <c r="F53" s="209" t="str">
        <f>F47</f>
        <v>diff</v>
      </c>
    </row>
    <row r="54" spans="3:12" x14ac:dyDescent="0.25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25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25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25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zoomScaleNormal="100" workbookViewId="0">
      <selection activeCell="A13" sqref="A13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/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[25]utt_f0_b0!B2</f>
        <v>86.081999999999994</v>
      </c>
      <c r="C3" s="162">
        <f>[25]utt_f0_b0!C2</f>
        <v>82.704753311215896</v>
      </c>
      <c r="D3" s="162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D3-B3</f>
        <v>3.3768598244591033</v>
      </c>
      <c r="M3" s="178">
        <f>[26]utt_f0_r2!$B$3</f>
        <v>2.6630692365991401E-2</v>
      </c>
      <c r="N3" s="178">
        <f>[26]utt_f0_r2!$B$2</f>
        <v>0.95251205799762395</v>
      </c>
    </row>
    <row r="4" spans="1:14" s="168" customFormat="1" ht="33.6" customHeight="1" thickBot="1" x14ac:dyDescent="0.3">
      <c r="A4" s="158" t="s">
        <v>15</v>
      </c>
      <c r="B4" s="158">
        <f>[25]utt_f0_b0!B3</f>
        <v>86.552999999999997</v>
      </c>
      <c r="C4" s="158">
        <f>[25]utt_f0_b0!C3</f>
        <v>83.538668846366306</v>
      </c>
      <c r="D4" s="158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7.1999999999999996E-14</v>
      </c>
      <c r="J4" s="156" t="str">
        <f>[25]utt_f0_b0!J3</f>
        <v>p&lt;0.0001</v>
      </c>
      <c r="K4" s="155">
        <f t="shared" ref="K4:K6" si="0">D4-B4</f>
        <v>3.0137620152299007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[25]utt_f0_b0!B4</f>
        <v>86.841999999999999</v>
      </c>
      <c r="C5" s="158">
        <f>[25]utt_f0_b0!C4</f>
        <v>83.750994120829404</v>
      </c>
      <c r="D5" s="158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8.5000000000000004E-14</v>
      </c>
      <c r="J5" s="156" t="str">
        <f>[25]utt_f0_b0!J4</f>
        <v>p&lt;0.0001</v>
      </c>
      <c r="K5" s="155">
        <f t="shared" si="0"/>
        <v>3.091069912578007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[25]utt_f0_b0!B5</f>
        <v>88.319000000000003</v>
      </c>
      <c r="C6" s="154">
        <f>[25]utt_f0_b0!C5</f>
        <v>84.789342645645803</v>
      </c>
      <c r="D6" s="154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 t="shared" si="0"/>
        <v>3.5286883251085044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0.96554889398034816</v>
      </c>
      <c r="C7" s="172"/>
      <c r="D7" s="171"/>
      <c r="E7" s="171"/>
      <c r="F7" s="170"/>
      <c r="G7" s="169"/>
      <c r="M7" s="175"/>
      <c r="N7" s="175"/>
    </row>
    <row r="8" spans="1:14" s="168" customFormat="1" x14ac:dyDescent="0.25">
      <c r="A8" s="149" t="s">
        <v>91</v>
      </c>
      <c r="B8" s="279">
        <f>AVERAGE(B3:B6)</f>
        <v>86.948999999999998</v>
      </c>
      <c r="C8" s="172"/>
      <c r="D8" s="171"/>
      <c r="E8" s="171"/>
      <c r="F8" s="170"/>
      <c r="G8" s="169"/>
      <c r="M8" s="175"/>
      <c r="N8" s="175"/>
    </row>
    <row r="9" spans="1:14" s="165" customFormat="1" ht="33.6" customHeight="1" thickBot="1" x14ac:dyDescent="0.3">
      <c r="A9" s="167" t="s">
        <v>54</v>
      </c>
      <c r="B9" s="166"/>
      <c r="C9" s="166"/>
      <c r="D9" s="166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163" t="str">
        <f>[27]utt_slope_b0!B1</f>
        <v>estimate</v>
      </c>
      <c r="C10" s="163" t="str">
        <f>[27]utt_slope_b0!C1</f>
        <v>conf.low</v>
      </c>
      <c r="D10" s="163" t="str">
        <f>[27]utt_slope_b0!D1</f>
        <v>conf.high</v>
      </c>
      <c r="E10" s="163" t="str">
        <f>[27]utt_slope_b0!E1</f>
        <v>std.error</v>
      </c>
      <c r="F10" s="163" t="str">
        <f>[27]utt_slope_b0!F1</f>
        <v>t.value</v>
      </c>
      <c r="G10" s="163" t="str">
        <f>[27]utt_slope_b0!G1</f>
        <v>df</v>
      </c>
      <c r="H10" s="163" t="str">
        <f>[27]utt_slope_b0!H1</f>
        <v>p.value</v>
      </c>
      <c r="I10" s="164" t="str">
        <f>[27]utt_slope_b0!I1</f>
        <v>p.adj (BH)</v>
      </c>
      <c r="J10" s="164" t="str">
        <f>[27]utt_slope_b0!J1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[27]utt_slope_b0!B2</f>
        <v>-0.96499999999999997</v>
      </c>
      <c r="C11" s="162">
        <f>[27]utt_slope_b0!C2</f>
        <v>-2.4963525049435602</v>
      </c>
      <c r="D11" s="162">
        <f>[27]utt_slope_b0!D2</f>
        <v>0.56700552236356905</v>
      </c>
      <c r="E11" s="159">
        <f>[27]utt_slope_b0!E2</f>
        <v>0.70699999999999996</v>
      </c>
      <c r="F11" s="159">
        <f>[27]utt_slope_b0!F2</f>
        <v>-1.365</v>
      </c>
      <c r="G11" s="159">
        <f>[27]utt_slope_b0!G2</f>
        <v>12.64</v>
      </c>
      <c r="H11" s="161">
        <f>[27]utt_slope_b0!H2</f>
        <v>0.19600000000000001</v>
      </c>
      <c r="I11" s="161">
        <f>[27]utt_slope_b0!I2</f>
        <v>0.20599999999999999</v>
      </c>
      <c r="J11" s="160">
        <f>[27]utt_slope_b0!J2</f>
        <v>0</v>
      </c>
      <c r="K11" s="159">
        <f t="shared" ref="K11:K14" si="1">D11-B11</f>
        <v>1.5320055223635691</v>
      </c>
      <c r="M11" s="178">
        <f>[28]utt_slope_r2!$B$3</f>
        <v>0.50842718754623495</v>
      </c>
      <c r="N11" s="178">
        <f>[28]utt_slope_r2!$B$2</f>
        <v>0.82937481434781102</v>
      </c>
    </row>
    <row r="12" spans="1:14" s="168" customFormat="1" ht="33.6" customHeight="1" thickBot="1" x14ac:dyDescent="0.3">
      <c r="A12" s="158" t="s">
        <v>15</v>
      </c>
      <c r="B12" s="158">
        <f>[27]utt_slope_b0!B3</f>
        <v>-3.0169999999999999</v>
      </c>
      <c r="C12" s="158">
        <f>[27]utt_slope_b0!C3</f>
        <v>-4.9996628049622398</v>
      </c>
      <c r="D12" s="158">
        <f>[27]utt_slope_b0!D3</f>
        <v>-1.03416354740153</v>
      </c>
      <c r="E12" s="155">
        <f>[27]utt_slope_b0!E3</f>
        <v>0.90300000000000002</v>
      </c>
      <c r="F12" s="155">
        <f>[27]utt_slope_b0!F3</f>
        <v>-3.34</v>
      </c>
      <c r="G12" s="155">
        <f>[27]utt_slope_b0!G3</f>
        <v>11.24</v>
      </c>
      <c r="H12" s="157">
        <f>[27]utt_slope_b0!H3</f>
        <v>6.0000000000000001E-3</v>
      </c>
      <c r="I12" s="157">
        <f>[27]utt_slope_b0!I3</f>
        <v>7.0000000000000001E-3</v>
      </c>
      <c r="J12" s="156" t="str">
        <f>[27]utt_slope_b0!J3</f>
        <v>p&lt;0.01</v>
      </c>
      <c r="K12" s="155">
        <f t="shared" si="1"/>
        <v>1.9828364525984699</v>
      </c>
    </row>
    <row r="13" spans="1:14" s="168" customFormat="1" ht="33.6" customHeight="1" thickBot="1" x14ac:dyDescent="0.3">
      <c r="A13" s="158" t="s">
        <v>16</v>
      </c>
      <c r="B13" s="158">
        <f>[27]utt_slope_b0!B4</f>
        <v>2.391</v>
      </c>
      <c r="C13" s="158">
        <f>[27]utt_slope_b0!C4</f>
        <v>0.81888946432429199</v>
      </c>
      <c r="D13" s="158">
        <f>[27]utt_slope_b0!D4</f>
        <v>3.9638815557991598</v>
      </c>
      <c r="E13" s="155">
        <f>[27]utt_slope_b0!E4</f>
        <v>0.73199999999999998</v>
      </c>
      <c r="F13" s="155">
        <f>[27]utt_slope_b0!F4</f>
        <v>3.2679999999999998</v>
      </c>
      <c r="G13" s="155">
        <f>[27]utt_slope_b0!G4</f>
        <v>13.74</v>
      </c>
      <c r="H13" s="157">
        <f>[27]utt_slope_b0!H4</f>
        <v>6.0000000000000001E-3</v>
      </c>
      <c r="I13" s="157">
        <f>[27]utt_slope_b0!I4</f>
        <v>7.0000000000000001E-3</v>
      </c>
      <c r="J13" s="156" t="str">
        <f>[27]utt_slope_b0!J4</f>
        <v>p&lt;0.01</v>
      </c>
      <c r="K13" s="155">
        <f t="shared" si="1"/>
        <v>1.5728815557991598</v>
      </c>
    </row>
    <row r="14" spans="1:14" s="168" customFormat="1" ht="33.6" customHeight="1" thickBot="1" x14ac:dyDescent="0.3">
      <c r="A14" s="154" t="s">
        <v>17</v>
      </c>
      <c r="B14" s="154">
        <f>[27]utt_slope_b0!B5</f>
        <v>5.4279999999999999</v>
      </c>
      <c r="C14" s="154">
        <f>[27]utt_slope_b0!C5</f>
        <v>2.9588560763468101</v>
      </c>
      <c r="D14" s="154">
        <f>[27]utt_slope_b0!D5</f>
        <v>7.89769641365013</v>
      </c>
      <c r="E14" s="151">
        <f>[27]utt_slope_b0!E5</f>
        <v>1.131</v>
      </c>
      <c r="F14" s="151">
        <f>[27]utt_slope_b0!F5</f>
        <v>4.8010000000000002</v>
      </c>
      <c r="G14" s="151">
        <f>[27]utt_slope_b0!G5</f>
        <v>11.74</v>
      </c>
      <c r="H14" s="153">
        <f>[27]utt_slope_b0!H5</f>
        <v>4.6000000000000001E-4</v>
      </c>
      <c r="I14" s="153">
        <f>[27]utt_slope_b0!I5</f>
        <v>5.5000000000000003E-4</v>
      </c>
      <c r="J14" s="152" t="str">
        <f>[27]utt_slope_b0!J5</f>
        <v>p&lt;0.001</v>
      </c>
      <c r="K14" s="151">
        <f t="shared" si="1"/>
        <v>2.46969641365013</v>
      </c>
    </row>
    <row r="15" spans="1:14" x14ac:dyDescent="0.25">
      <c r="A15" s="149" t="s">
        <v>89</v>
      </c>
      <c r="B15" s="150">
        <f>_xlfn.STDEV.S(B11:B14)</f>
        <v>3.7207945723998255</v>
      </c>
      <c r="C15" s="149"/>
      <c r="D15" s="149"/>
    </row>
    <row r="16" spans="1:14" x14ac:dyDescent="0.25">
      <c r="A16" s="149" t="s">
        <v>90</v>
      </c>
      <c r="B16" s="150">
        <f>AVERAGE(B11:B14)</f>
        <v>0.95925000000000005</v>
      </c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ht="33.6" customHeight="1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zoomScaleNormal="100" workbookViewId="0">
      <selection activeCell="A17" sqref="A17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 t="s">
        <v>82</v>
      </c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[31]utt_f0_full_phon_b0!B1</f>
        <v>estimate</v>
      </c>
      <c r="C2" s="163" t="str">
        <f>[31]utt_f0_full_phon_b0!C1</f>
        <v>conf.low</v>
      </c>
      <c r="D2" s="163" t="str">
        <f>[31]utt_f0_full_phon_b0!D1</f>
        <v>conf.high</v>
      </c>
      <c r="E2" s="163" t="str">
        <f>[31]utt_f0_full_phon_b0!E1</f>
        <v>std.error</v>
      </c>
      <c r="F2" s="163" t="str">
        <f>[31]utt_f0_full_phon_b0!F1</f>
        <v>t.value</v>
      </c>
      <c r="G2" s="163" t="str">
        <f>[31]utt_f0_full_phon_b0!G1</f>
        <v>df</v>
      </c>
      <c r="H2" s="163" t="str">
        <f>[31]utt_f0_full_phon_b0!H1</f>
        <v>p.value</v>
      </c>
      <c r="I2" s="164" t="str">
        <f>[31]utt_f0_full_phon_b0!I1</f>
        <v>p.adj (BH)</v>
      </c>
      <c r="J2" s="164" t="str">
        <f>[31]utt_f0_full_phon_b0!J1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[31]utt_f0_full_phon_b0!B2</f>
        <v>86.102999999999994</v>
      </c>
      <c r="C3" s="162">
        <f>[31]utt_f0_full_phon_b0!C2</f>
        <v>82.689550235795807</v>
      </c>
      <c r="D3" s="162">
        <f>[31]utt_f0_full_phon_b0!D2</f>
        <v>89.517098450922404</v>
      </c>
      <c r="E3" s="159">
        <f>[31]utt_f0_full_phon_b0!E2</f>
        <v>1.5549999999999999</v>
      </c>
      <c r="F3" s="159">
        <f>[31]utt_f0_full_phon_b0!F2</f>
        <v>55.389000000000003</v>
      </c>
      <c r="G3" s="159">
        <f>[31]utt_f0_full_phon_b0!G2</f>
        <v>11.21</v>
      </c>
      <c r="H3" s="161">
        <f>[31]utt_f0_full_phon_b0!H2</f>
        <v>5E-15</v>
      </c>
      <c r="I3" s="161">
        <f>[31]utt_f0_full_phon_b0!I2</f>
        <v>2.3999999999999999E-14</v>
      </c>
      <c r="J3" s="160" t="str">
        <f>[31]utt_f0_full_phon_b0!J2</f>
        <v>p&lt;0.0001</v>
      </c>
      <c r="K3" s="159">
        <f t="shared" ref="K3:K6" si="0">D3-B3</f>
        <v>3.4140984509224097</v>
      </c>
      <c r="M3" s="178">
        <f>[32]utt_f0_full_phon_r2!$B$3</f>
        <v>1.8544092869285801E-2</v>
      </c>
      <c r="N3" s="178">
        <f>[32]utt_f0_full_phon_r2!$B$2</f>
        <v>0.95092036274743896</v>
      </c>
    </row>
    <row r="4" spans="1:14" s="168" customFormat="1" ht="33.6" customHeight="1" thickBot="1" x14ac:dyDescent="0.3">
      <c r="A4" s="158" t="s">
        <v>15</v>
      </c>
      <c r="B4" s="158">
        <f>[31]utt_f0_full_phon_b0!B3</f>
        <v>86.563000000000002</v>
      </c>
      <c r="C4" s="158">
        <f>[31]utt_f0_full_phon_b0!C3</f>
        <v>83.483536238419006</v>
      </c>
      <c r="D4" s="158">
        <f>[31]utt_f0_full_phon_b0!D3</f>
        <v>89.641733582444701</v>
      </c>
      <c r="E4" s="155">
        <f>[31]utt_f0_full_phon_b0!E3</f>
        <v>1.4059999999999999</v>
      </c>
      <c r="F4" s="155">
        <f>[31]utt_f0_full_phon_b0!F3</f>
        <v>61.561999999999998</v>
      </c>
      <c r="G4" s="155">
        <f>[31]utt_f0_full_phon_b0!G3</f>
        <v>11.48</v>
      </c>
      <c r="H4" s="157">
        <f>[31]utt_f0_full_phon_b0!H3</f>
        <v>7.9000000000000002E-16</v>
      </c>
      <c r="I4" s="157">
        <f>[31]utt_f0_full_phon_b0!I3</f>
        <v>1E-14</v>
      </c>
      <c r="J4" s="156" t="str">
        <f>[31]utt_f0_full_phon_b0!J3</f>
        <v>p&lt;0.0001</v>
      </c>
      <c r="K4" s="155">
        <f t="shared" si="0"/>
        <v>3.0787335824446984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[31]utt_f0_full_phon_b0!B4</f>
        <v>86.697000000000003</v>
      </c>
      <c r="C5" s="158">
        <f>[31]utt_f0_full_phon_b0!C4</f>
        <v>83.475080756363994</v>
      </c>
      <c r="D5" s="158">
        <f>[31]utt_f0_full_phon_b0!D4</f>
        <v>89.918034602516897</v>
      </c>
      <c r="E5" s="155">
        <f>[31]utt_f0_full_phon_b0!E4</f>
        <v>1.468</v>
      </c>
      <c r="F5" s="155">
        <f>[31]utt_f0_full_phon_b0!F4</f>
        <v>59.069000000000003</v>
      </c>
      <c r="G5" s="155">
        <f>[31]utt_f0_full_phon_b0!G4</f>
        <v>11.26</v>
      </c>
      <c r="H5" s="157">
        <f>[31]utt_f0_full_phon_b0!H4</f>
        <v>2.1999999999999999E-15</v>
      </c>
      <c r="I5" s="157">
        <f>[31]utt_f0_full_phon_b0!I4</f>
        <v>1.3E-14</v>
      </c>
      <c r="J5" s="156" t="str">
        <f>[31]utt_f0_full_phon_b0!J4</f>
        <v>p&lt;0.0001</v>
      </c>
      <c r="K5" s="155">
        <f t="shared" si="0"/>
        <v>3.2210346025168946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[31]utt_f0_full_phon_b0!B5</f>
        <v>87.991</v>
      </c>
      <c r="C6" s="154">
        <f>[31]utt_f0_full_phon_b0!C5</f>
        <v>84.373204423542006</v>
      </c>
      <c r="D6" s="154">
        <f>[31]utt_f0_full_phon_b0!D5</f>
        <v>91.609749457138307</v>
      </c>
      <c r="E6" s="151">
        <f>[31]utt_f0_full_phon_b0!E5</f>
        <v>1.6439999999999999</v>
      </c>
      <c r="F6" s="151">
        <f>[31]utt_f0_full_phon_b0!F5</f>
        <v>53.527999999999999</v>
      </c>
      <c r="G6" s="151">
        <f>[31]utt_f0_full_phon_b0!G5</f>
        <v>11</v>
      </c>
      <c r="H6" s="153">
        <f>[31]utt_f0_full_phon_b0!H5</f>
        <v>1.1999999999999999E-14</v>
      </c>
      <c r="I6" s="153">
        <f>[31]utt_f0_full_phon_b0!I5</f>
        <v>4.4999999999999998E-14</v>
      </c>
      <c r="J6" s="152" t="str">
        <f>[31]utt_f0_full_phon_b0!J5</f>
        <v>p&lt;0.0001</v>
      </c>
      <c r="K6" s="151">
        <f t="shared" si="0"/>
        <v>3.618749457138307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0.80934932713466512</v>
      </c>
      <c r="C7" s="171"/>
      <c r="D7" s="171"/>
      <c r="E7" s="171"/>
      <c r="F7" s="170"/>
      <c r="G7" s="169"/>
      <c r="M7" s="175"/>
      <c r="N7" s="175"/>
    </row>
    <row r="8" spans="1:14" s="168" customFormat="1" x14ac:dyDescent="0.25">
      <c r="A8" s="149" t="s">
        <v>90</v>
      </c>
      <c r="B8" s="279">
        <f>AVERAGE(B3:B6)</f>
        <v>86.838499999999996</v>
      </c>
      <c r="C8" s="171"/>
      <c r="D8" s="171"/>
      <c r="E8" s="171"/>
      <c r="F8" s="170"/>
      <c r="G8" s="169"/>
      <c r="M8" s="175"/>
      <c r="N8" s="175"/>
    </row>
    <row r="9" spans="1:14" s="165" customFormat="1" ht="33.6" customHeight="1" thickBot="1" x14ac:dyDescent="0.3">
      <c r="A9" s="167" t="s">
        <v>54</v>
      </c>
      <c r="B9" s="174" t="s">
        <v>82</v>
      </c>
      <c r="C9" s="174"/>
      <c r="D9" s="174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278" t="str">
        <f>[33]utt_slope_full_phon_b0!B1</f>
        <v>estimate</v>
      </c>
      <c r="C10" s="278" t="str">
        <f>[33]utt_slope_full_phon_b0!C1</f>
        <v>conf.low</v>
      </c>
      <c r="D10" s="278" t="str">
        <f>[33]utt_slope_full_phon_b0!D1</f>
        <v>conf.high</v>
      </c>
      <c r="E10" s="163" t="str">
        <f>[33]utt_slope_full_phon_b0!E1</f>
        <v>std.error</v>
      </c>
      <c r="F10" s="163" t="str">
        <f>[33]utt_slope_full_phon_b0!F1</f>
        <v>t.value</v>
      </c>
      <c r="G10" s="163" t="str">
        <f>[33]utt_slope_full_phon_b0!G1</f>
        <v>df</v>
      </c>
      <c r="H10" s="163" t="str">
        <f>[33]utt_slope_full_phon_b0!H1</f>
        <v>p.value</v>
      </c>
      <c r="I10" s="164" t="str">
        <f>[33]utt_slope_full_phon_b0!I1</f>
        <v>p.adj (BH)</v>
      </c>
      <c r="J10" s="164" t="str">
        <f>[33]utt_slope_full_phon_b0!J1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[33]utt_slope_full_phon_b0!B2</f>
        <v>-2.3959999999999999</v>
      </c>
      <c r="C11" s="162">
        <f>[33]utt_slope_full_phon_b0!C2</f>
        <v>-6.9765219034267698</v>
      </c>
      <c r="D11" s="162">
        <f>[33]utt_slope_full_phon_b0!D2</f>
        <v>2.1849617930567602</v>
      </c>
      <c r="E11" s="159">
        <f>[33]utt_slope_full_phon_b0!E2</f>
        <v>1.9910000000000001</v>
      </c>
      <c r="F11" s="159">
        <f>[33]utt_slope_full_phon_b0!F2</f>
        <v>-1.2030000000000001</v>
      </c>
      <c r="G11" s="159">
        <f>[33]utt_slope_full_phon_b0!G2</f>
        <v>8.11</v>
      </c>
      <c r="H11" s="161">
        <f>[33]utt_slope_full_phon_b0!H2</f>
        <v>0.26300000000000001</v>
      </c>
      <c r="I11" s="161">
        <f>[33]utt_slope_full_phon_b0!I2</f>
        <v>0.26700000000000002</v>
      </c>
      <c r="J11" s="160">
        <f>[33]utt_slope_full_phon_b0!J2</f>
        <v>0</v>
      </c>
      <c r="K11" s="159">
        <f>D11-B11</f>
        <v>4.5809617930567601</v>
      </c>
      <c r="M11" s="178">
        <f>[34]utt_slope_full_phon_r2!$B$3</f>
        <v>0.249380872258086</v>
      </c>
      <c r="N11" s="178">
        <f>[34]utt_slope_full_phon_r2!$B$2</f>
        <v>0.91543905713981299</v>
      </c>
    </row>
    <row r="12" spans="1:14" s="168" customFormat="1" ht="33.6" customHeight="1" thickBot="1" x14ac:dyDescent="0.3">
      <c r="A12" s="158" t="s">
        <v>15</v>
      </c>
      <c r="B12" s="158">
        <f>[33]utt_slope_full_phon_b0!B3</f>
        <v>-4.5419999999999998</v>
      </c>
      <c r="C12" s="158">
        <f>[33]utt_slope_full_phon_b0!C3</f>
        <v>-9.2175803670468905</v>
      </c>
      <c r="D12" s="158">
        <f>[33]utt_slope_full_phon_b0!D3</f>
        <v>0.133573084832663</v>
      </c>
      <c r="E12" s="155">
        <f>[33]utt_slope_full_phon_b0!E3</f>
        <v>2.0840000000000001</v>
      </c>
      <c r="F12" s="155">
        <f>[33]utt_slope_full_phon_b0!F3</f>
        <v>-2.1789999999999998</v>
      </c>
      <c r="G12" s="155">
        <f>[33]utt_slope_full_phon_b0!G3</f>
        <v>9.5299999999999994</v>
      </c>
      <c r="H12" s="157">
        <f>[33]utt_slope_full_phon_b0!H3</f>
        <v>5.6000000000000001E-2</v>
      </c>
      <c r="I12" s="157">
        <f>[33]utt_slope_full_phon_b0!I3</f>
        <v>5.8999999999999997E-2</v>
      </c>
      <c r="J12" s="156">
        <f>[33]utt_slope_full_phon_b0!J3</f>
        <v>0</v>
      </c>
      <c r="K12" s="155">
        <f t="shared" ref="K12:K14" si="1">D12-B12</f>
        <v>4.6755730848326627</v>
      </c>
    </row>
    <row r="13" spans="1:14" s="168" customFormat="1" ht="33.6" customHeight="1" thickBot="1" x14ac:dyDescent="0.3">
      <c r="A13" s="158" t="s">
        <v>16</v>
      </c>
      <c r="B13" s="158">
        <f>[33]utt_slope_full_phon_b0!B4</f>
        <v>0.55700000000000005</v>
      </c>
      <c r="C13" s="158">
        <f>[33]utt_slope_full_phon_b0!C4</f>
        <v>-4.0108667936125304</v>
      </c>
      <c r="D13" s="158">
        <f>[33]utt_slope_full_phon_b0!D4</f>
        <v>5.1251249075484697</v>
      </c>
      <c r="E13" s="155">
        <f>[33]utt_slope_full_phon_b0!E4</f>
        <v>1.9710000000000001</v>
      </c>
      <c r="F13" s="155">
        <f>[33]utt_slope_full_phon_b0!F4</f>
        <v>0.28299999999999997</v>
      </c>
      <c r="G13" s="155">
        <f>[33]utt_slope_full_phon_b0!G4</f>
        <v>7.79</v>
      </c>
      <c r="H13" s="157">
        <f>[33]utt_slope_full_phon_b0!H4</f>
        <v>0.78500000000000003</v>
      </c>
      <c r="I13" s="157">
        <f>[33]utt_slope_full_phon_b0!I4</f>
        <v>0.78500000000000003</v>
      </c>
      <c r="J13" s="156">
        <f>[33]utt_slope_full_phon_b0!J4</f>
        <v>0</v>
      </c>
      <c r="K13" s="155">
        <f t="shared" si="1"/>
        <v>4.5681249075484693</v>
      </c>
    </row>
    <row r="14" spans="1:14" s="168" customFormat="1" ht="33.6" customHeight="1" thickBot="1" x14ac:dyDescent="0.3">
      <c r="A14" s="154" t="s">
        <v>17</v>
      </c>
      <c r="B14" s="154">
        <f>[33]utt_slope_full_phon_b0!B5</f>
        <v>2.8029999999999999</v>
      </c>
      <c r="C14" s="154">
        <f>[33]utt_slope_full_phon_b0!C5</f>
        <v>-1.88741630963287</v>
      </c>
      <c r="D14" s="154">
        <f>[33]utt_slope_full_phon_b0!D5</f>
        <v>7.4924614157353098</v>
      </c>
      <c r="E14" s="151">
        <f>[33]utt_slope_full_phon_b0!E5</f>
        <v>2.093</v>
      </c>
      <c r="F14" s="151">
        <f>[33]utt_slope_full_phon_b0!F5</f>
        <v>1.339</v>
      </c>
      <c r="G14" s="151">
        <f>[33]utt_slope_full_phon_b0!G5</f>
        <v>9.59</v>
      </c>
      <c r="H14" s="153">
        <f>[33]utt_slope_full_phon_b0!H5</f>
        <v>0.21099999999999999</v>
      </c>
      <c r="I14" s="153">
        <f>[33]utt_slope_full_phon_b0!I5</f>
        <v>0.218</v>
      </c>
      <c r="J14" s="152">
        <f>[33]utt_slope_full_phon_b0!J5</f>
        <v>0</v>
      </c>
      <c r="K14" s="151">
        <f t="shared" si="1"/>
        <v>4.6894614157353098</v>
      </c>
    </row>
    <row r="15" spans="1:14" x14ac:dyDescent="0.25">
      <c r="A15" s="149" t="s">
        <v>89</v>
      </c>
      <c r="B15" s="150">
        <f>_xlfn.STDEV.S(B11:B14)</f>
        <v>3.2319816934300021</v>
      </c>
      <c r="C15" s="149"/>
      <c r="D15" s="149"/>
    </row>
    <row r="16" spans="1:14" x14ac:dyDescent="0.25">
      <c r="A16" s="149" t="s">
        <v>90</v>
      </c>
      <c r="B16" s="150">
        <f>AVERAGE(B11:B14)</f>
        <v>-0.89449999999999985</v>
      </c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ht="33.6" customHeight="1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tabSelected="1" zoomScale="83" zoomScaleNormal="83" workbookViewId="0">
      <selection activeCell="N19" sqref="N19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3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[29]utt_f0_b1!C2</f>
        <v>0.47099999999999997</v>
      </c>
      <c r="D3" s="159">
        <f>[29]utt_f0_b1!D2</f>
        <v>-0.22015365295248701</v>
      </c>
      <c r="E3" s="159">
        <f>[29]utt_f0_b1!E2</f>
        <v>1.1619712718434301</v>
      </c>
      <c r="F3" s="159">
        <f>[29]utt_f0_b1!F2</f>
        <v>0.31</v>
      </c>
      <c r="G3" s="159">
        <f>[29]utt_f0_b1!G2</f>
        <v>1.5169999999999999</v>
      </c>
      <c r="H3" s="161">
        <f>[29]utt_f0_b1!H2</f>
        <v>10.06</v>
      </c>
      <c r="I3" s="161">
        <f>[29]utt_f0_b1!I2</f>
        <v>0.16</v>
      </c>
      <c r="J3" s="181">
        <f>[29]utt_f0_b1!J2</f>
        <v>0.22500000000000001</v>
      </c>
      <c r="K3" s="162">
        <f>[29]utt_f0_b1!K2</f>
        <v>0</v>
      </c>
      <c r="L3" s="184">
        <f t="shared" ref="L3:L8" si="0">C3-D3</f>
        <v>0.69115365295248699</v>
      </c>
    </row>
    <row r="4" spans="1:12" ht="33.6" customHeight="1" thickBot="1" x14ac:dyDescent="0.3">
      <c r="A4" s="158" t="s">
        <v>14</v>
      </c>
      <c r="B4" s="155" t="s">
        <v>16</v>
      </c>
      <c r="C4" s="155">
        <f>[29]utt_f0_b1!C3</f>
        <v>0.76</v>
      </c>
      <c r="D4" s="155">
        <f>[29]utt_f0_b1!D3</f>
        <v>0.20624707042249599</v>
      </c>
      <c r="E4" s="155">
        <f>[29]utt_f0_b1!E3</f>
        <v>1.3142037452130699</v>
      </c>
      <c r="F4" s="155">
        <f>[29]utt_f0_b1!F3</f>
        <v>0.249</v>
      </c>
      <c r="G4" s="155">
        <f>[29]utt_f0_b1!G3</f>
        <v>3.0550000000000002</v>
      </c>
      <c r="H4" s="157">
        <f>[29]utt_f0_b1!H3</f>
        <v>10.06</v>
      </c>
      <c r="I4" s="157">
        <f>[29]utt_f0_b1!I3</f>
        <v>1.2E-2</v>
      </c>
      <c r="J4" s="180">
        <f>[29]utt_f0_b1!J3</f>
        <v>2.1000000000000001E-2</v>
      </c>
      <c r="K4" s="158" t="str">
        <f>[29]utt_f0_b1!K3</f>
        <v>p&lt;0.05</v>
      </c>
      <c r="L4" s="184">
        <f t="shared" si="0"/>
        <v>0.55375292957750399</v>
      </c>
    </row>
    <row r="5" spans="1:12" ht="33.6" customHeight="1" thickBot="1" x14ac:dyDescent="0.3">
      <c r="A5" s="158" t="s">
        <v>14</v>
      </c>
      <c r="B5" s="155" t="s">
        <v>17</v>
      </c>
      <c r="C5" s="155">
        <f>[29]utt_f0_b1!C4</f>
        <v>2.2370000000000001</v>
      </c>
      <c r="D5" s="155">
        <f>[29]utt_f0_b1!D4</f>
        <v>1.27929253555636</v>
      </c>
      <c r="E5" s="155">
        <f>[29]utt_f0_b1!E4</f>
        <v>3.1941262549499299</v>
      </c>
      <c r="F5" s="155">
        <f>[29]utt_f0_b1!F4</f>
        <v>0.43</v>
      </c>
      <c r="G5" s="155">
        <f>[29]utt_f0_b1!G4</f>
        <v>5.2039999999999997</v>
      </c>
      <c r="H5" s="157">
        <f>[29]utt_f0_b1!H4</f>
        <v>10.029999999999999</v>
      </c>
      <c r="I5" s="157">
        <f>[29]utt_f0_b1!I4</f>
        <v>4.0000000000000002E-4</v>
      </c>
      <c r="J5" s="180">
        <f>[29]utt_f0_b1!J4</f>
        <v>1E-3</v>
      </c>
      <c r="K5" s="158" t="str">
        <f>[29]utt_f0_b1!K4</f>
        <v>p&lt;0.01</v>
      </c>
      <c r="L5" s="184">
        <f t="shared" si="0"/>
        <v>0.95770746444364008</v>
      </c>
    </row>
    <row r="6" spans="1:12" ht="33.6" customHeight="1" thickBot="1" x14ac:dyDescent="0.3">
      <c r="A6" s="158" t="s">
        <v>15</v>
      </c>
      <c r="B6" s="155" t="s">
        <v>16</v>
      </c>
      <c r="C6" s="155">
        <f>[29]utt_f0_b1!C5</f>
        <v>0.28899999999999998</v>
      </c>
      <c r="D6" s="155">
        <f>[29]utt_f0_b1!D5</f>
        <v>-0.27415618944855602</v>
      </c>
      <c r="E6" s="155">
        <f>[29]utt_f0_b1!E5</f>
        <v>0.85278924152352698</v>
      </c>
      <c r="F6" s="155">
        <f>[29]utt_f0_b1!F5</f>
        <v>0.253</v>
      </c>
      <c r="G6" s="155">
        <f>[29]utt_f0_b1!G5</f>
        <v>1.1439999999999999</v>
      </c>
      <c r="H6" s="157">
        <f>[29]utt_f0_b1!H5</f>
        <v>9.98</v>
      </c>
      <c r="I6" s="157">
        <f>[29]utt_f0_b1!I5</f>
        <v>0.27900000000000003</v>
      </c>
      <c r="J6" s="180">
        <f>[29]utt_f0_b1!J5</f>
        <v>0.36599999999999999</v>
      </c>
      <c r="K6" s="158">
        <f>[29]utt_f0_b1!K5</f>
        <v>0</v>
      </c>
      <c r="L6" s="184">
        <f t="shared" si="0"/>
        <v>0.56315618944855594</v>
      </c>
    </row>
    <row r="7" spans="1:12" ht="33.6" customHeight="1" thickBot="1" x14ac:dyDescent="0.3">
      <c r="A7" s="158" t="s">
        <v>15</v>
      </c>
      <c r="B7" s="155" t="s">
        <v>17</v>
      </c>
      <c r="C7" s="155">
        <f>[29]utt_f0_b1!C6</f>
        <v>1.766</v>
      </c>
      <c r="D7" s="155">
        <f>[29]utt_f0_b1!D6</f>
        <v>0.392873023230355</v>
      </c>
      <c r="E7" s="155">
        <f>[29]utt_f0_b1!E6</f>
        <v>3.1387273895439902</v>
      </c>
      <c r="F7" s="155">
        <f>[29]utt_f0_b1!F6</f>
        <v>0.61599999999999999</v>
      </c>
      <c r="G7" s="155">
        <f>[29]utt_f0_b1!G6</f>
        <v>2.8650000000000002</v>
      </c>
      <c r="H7" s="157">
        <f>[29]utt_f0_b1!H6</f>
        <v>10.02</v>
      </c>
      <c r="I7" s="157">
        <f>[29]utt_f0_b1!I6</f>
        <v>1.7000000000000001E-2</v>
      </c>
      <c r="J7" s="180">
        <f>[29]utt_f0_b1!J6</f>
        <v>2.9000000000000001E-2</v>
      </c>
      <c r="K7" s="158" t="str">
        <f>[29]utt_f0_b1!K6</f>
        <v>p&lt;0.05</v>
      </c>
      <c r="L7" s="184">
        <f t="shared" si="0"/>
        <v>1.373126976769645</v>
      </c>
    </row>
    <row r="8" spans="1:12" ht="33" customHeight="1" thickBot="1" x14ac:dyDescent="0.3">
      <c r="A8" s="154" t="s">
        <v>16</v>
      </c>
      <c r="B8" s="151" t="s">
        <v>17</v>
      </c>
      <c r="C8" s="151">
        <f>[29]utt_f0_b1!C7</f>
        <v>1.476</v>
      </c>
      <c r="D8" s="151">
        <f>[29]utt_f0_b1!D7</f>
        <v>0.18253335878347399</v>
      </c>
      <c r="E8" s="151">
        <f>[29]utt_f0_b1!E7</f>
        <v>2.7704356031870798</v>
      </c>
      <c r="F8" s="151">
        <f>[29]utt_f0_b1!F7</f>
        <v>0.58099999999999996</v>
      </c>
      <c r="G8" s="151">
        <f>[29]utt_f0_b1!G7</f>
        <v>2.5409999999999999</v>
      </c>
      <c r="H8" s="153">
        <f>[29]utt_f0_b1!H7</f>
        <v>10.039999999999999</v>
      </c>
      <c r="I8" s="153">
        <f>[29]utt_f0_b1!I7</f>
        <v>2.9000000000000001E-2</v>
      </c>
      <c r="J8" s="179">
        <f>[29]utt_f0_b1!J7</f>
        <v>4.7E-2</v>
      </c>
      <c r="K8" s="154" t="str">
        <f>[29]utt_f0_b1!K7</f>
        <v>p&lt;0.05</v>
      </c>
      <c r="L8" s="184">
        <f t="shared" si="0"/>
        <v>1.2934666412165261</v>
      </c>
    </row>
    <row r="9" spans="1:12" x14ac:dyDescent="0.25">
      <c r="A9" s="149" t="s">
        <v>89</v>
      </c>
      <c r="B9" s="150"/>
      <c r="C9" s="150">
        <f>_xlfn.STDEV.S(C3:C8)</f>
        <v>0.77719103185767646</v>
      </c>
    </row>
    <row r="10" spans="1:12" x14ac:dyDescent="0.25">
      <c r="A10" s="149" t="s">
        <v>90</v>
      </c>
      <c r="B10" s="279"/>
      <c r="C10" s="279">
        <f>AVERAGE(C3:C8)</f>
        <v>1.1664999999999999</v>
      </c>
    </row>
    <row r="11" spans="1:12" ht="33" customHeight="1" thickBot="1" x14ac:dyDescent="0.3">
      <c r="A11" s="167" t="s">
        <v>54</v>
      </c>
    </row>
    <row r="12" spans="1:12" ht="25.15" customHeight="1" thickTop="1" thickBot="1" x14ac:dyDescent="0.3">
      <c r="A12" s="163" t="str">
        <f>[30]utt_slope_b1!A1</f>
        <v>intercept</v>
      </c>
      <c r="B12" s="163" t="str">
        <f>[30]utt_slope_b1!B1</f>
        <v>slope</v>
      </c>
      <c r="C12" s="163" t="str">
        <f>[30]utt_slope_b1!C1</f>
        <v>estimate</v>
      </c>
      <c r="D12" s="163" t="str">
        <f>[30]utt_slope_b1!D1</f>
        <v>conf.low</v>
      </c>
      <c r="E12" s="163" t="str">
        <f>[30]utt_slope_b1!E1</f>
        <v>conf.high</v>
      </c>
      <c r="F12" s="163" t="str">
        <f>[30]utt_slope_b1!F1</f>
        <v>std.error</v>
      </c>
      <c r="G12" s="163" t="str">
        <f>[30]utt_slope_b1!G1</f>
        <v>t.value</v>
      </c>
      <c r="H12" s="163" t="str">
        <f>[30]utt_slope_b1!H1</f>
        <v>df</v>
      </c>
      <c r="I12" s="164" t="str">
        <f>[30]utt_slope_b1!I1</f>
        <v>p.value</v>
      </c>
      <c r="J12" s="164" t="str">
        <f>[30]utt_slope_b1!J1</f>
        <v>p.adj (BH)</v>
      </c>
      <c r="K12" s="163" t="str">
        <f>[30]utt_slope_b1!K1</f>
        <v>signif.</v>
      </c>
      <c r="L12" s="183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[30]utt_slope_b1!C2</f>
        <v>-2.052</v>
      </c>
      <c r="D13" s="159">
        <f>[30]utt_slope_b1!D2</f>
        <v>-4.7958391984234803</v>
      </c>
      <c r="E13" s="159">
        <f>[30]utt_slope_b1!E2</f>
        <v>0.69136018358036599</v>
      </c>
      <c r="F13" s="159">
        <f>[30]utt_slope_b1!F2</f>
        <v>1.234</v>
      </c>
      <c r="G13" s="159">
        <f>[30]utt_slope_b1!G2</f>
        <v>-1.663</v>
      </c>
      <c r="H13" s="159">
        <f>[30]utt_slope_b1!H2</f>
        <v>10.15</v>
      </c>
      <c r="I13" s="161">
        <f>[30]utt_slope_b1!I2</f>
        <v>0.127</v>
      </c>
      <c r="J13" s="160">
        <f>[30]utt_slope_b1!J2</f>
        <v>0.184</v>
      </c>
      <c r="K13" s="162">
        <f>[30]utt_slope_b1!K2</f>
        <v>0</v>
      </c>
      <c r="L13" s="184">
        <f t="shared" ref="L13:L18" si="1">C13-D13</f>
        <v>2.7438391984234802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[30]utt_slope_b1!C3</f>
        <v>3.3559999999999999</v>
      </c>
      <c r="D14" s="155">
        <f>[30]utt_slope_b1!D3</f>
        <v>1.59925170790909</v>
      </c>
      <c r="E14" s="155">
        <f>[30]utt_slope_b1!E3</f>
        <v>5.1128643975200099</v>
      </c>
      <c r="F14" s="155">
        <f>[30]utt_slope_b1!F3</f>
        <v>0.78900000000000003</v>
      </c>
      <c r="G14" s="155">
        <f>[30]utt_slope_b1!G3</f>
        <v>4.2549999999999999</v>
      </c>
      <c r="H14" s="177">
        <f>[30]utt_slope_b1!H3</f>
        <v>10.02</v>
      </c>
      <c r="I14" s="157">
        <f>[30]utt_slope_b1!I3</f>
        <v>2E-3</v>
      </c>
      <c r="J14" s="156">
        <f>[30]utt_slope_b1!J3</f>
        <v>4.0000000000000001E-3</v>
      </c>
      <c r="K14" s="158" t="str">
        <f>[30]utt_slope_b1!K3</f>
        <v>p&lt;0.01</v>
      </c>
      <c r="L14" s="184">
        <f t="shared" si="1"/>
        <v>1.7567482920909099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[30]utt_slope_b1!C4</f>
        <v>6.3929999999999998</v>
      </c>
      <c r="D15" s="155">
        <f>[30]utt_slope_b1!D4</f>
        <v>3.9025335194650301</v>
      </c>
      <c r="E15" s="155">
        <f>[30]utt_slope_b1!E4</f>
        <v>8.8833685051407798</v>
      </c>
      <c r="F15" s="155">
        <f>[30]utt_slope_b1!F4</f>
        <v>1.1200000000000001</v>
      </c>
      <c r="G15" s="155">
        <f>[30]utt_slope_b1!G4</f>
        <v>5.71</v>
      </c>
      <c r="H15" s="177">
        <f>[30]utt_slope_b1!H4</f>
        <v>10.119999999999999</v>
      </c>
      <c r="I15" s="157">
        <f>[30]utt_slope_b1!I4</f>
        <v>1.9000000000000001E-4</v>
      </c>
      <c r="J15" s="156">
        <f>[30]utt_slope_b1!J4</f>
        <v>5.5999999999999995E-4</v>
      </c>
      <c r="K15" s="158" t="str">
        <f>[30]utt_slope_b1!K4</f>
        <v>p&lt;0.001</v>
      </c>
      <c r="L15" s="184">
        <f t="shared" si="1"/>
        <v>2.4904664805349697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[30]utt_slope_b1!C5</f>
        <v>5.4080000000000004</v>
      </c>
      <c r="D16" s="155">
        <f>[30]utt_slope_b1!D5</f>
        <v>2.2475105490332901</v>
      </c>
      <c r="E16" s="155">
        <f>[30]utt_slope_b1!E5</f>
        <v>8.5690840979103999</v>
      </c>
      <c r="F16" s="155">
        <f>[30]utt_slope_b1!F5</f>
        <v>1.4239999999999999</v>
      </c>
      <c r="G16" s="155">
        <f>[30]utt_slope_b1!G5</f>
        <v>3.7989999999999999</v>
      </c>
      <c r="H16" s="177">
        <f>[30]utt_slope_b1!H5</f>
        <v>10.27</v>
      </c>
      <c r="I16" s="157">
        <f>[30]utt_slope_b1!I5</f>
        <v>3.0000000000000001E-3</v>
      </c>
      <c r="J16" s="156">
        <f>[30]utt_slope_b1!J5</f>
        <v>6.0000000000000001E-3</v>
      </c>
      <c r="K16" s="158" t="str">
        <f>[30]utt_slope_b1!K5</f>
        <v>p&lt;0.01</v>
      </c>
      <c r="L16" s="184">
        <f t="shared" si="1"/>
        <v>3.1604894509667103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[30]utt_slope_b1!C6</f>
        <v>8.4450000000000003</v>
      </c>
      <c r="D17" s="155">
        <f>[30]utt_slope_b1!D6</f>
        <v>4.4569465447362298</v>
      </c>
      <c r="E17" s="155">
        <f>[30]utt_slope_b1!E6</f>
        <v>12.4334349878491</v>
      </c>
      <c r="F17" s="155">
        <f>[30]utt_slope_b1!F6</f>
        <v>1.7949999999999999</v>
      </c>
      <c r="G17" s="155">
        <f>[30]utt_slope_b1!G6</f>
        <v>4.7050000000000001</v>
      </c>
      <c r="H17" s="177">
        <f>[30]utt_slope_b1!H6</f>
        <v>10.199999999999999</v>
      </c>
      <c r="I17" s="157">
        <f>[30]utt_slope_b1!I6</f>
        <v>7.9000000000000001E-4</v>
      </c>
      <c r="J17" s="156">
        <f>[30]utt_slope_b1!J6</f>
        <v>2E-3</v>
      </c>
      <c r="K17" s="158" t="str">
        <f>[30]utt_slope_b1!K6</f>
        <v>p&lt;0.01</v>
      </c>
      <c r="L17" s="184">
        <f t="shared" si="1"/>
        <v>3.9880534552637705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[30]utt_slope_b1!C7</f>
        <v>3.0369999999999999</v>
      </c>
      <c r="D18" s="151">
        <f>[30]utt_slope_b1!D7</f>
        <v>1.0876593854030101</v>
      </c>
      <c r="E18" s="151">
        <f>[30]utt_slope_b1!E7</f>
        <v>4.9861256717540599</v>
      </c>
      <c r="F18" s="151">
        <f>[30]utt_slope_b1!F7</f>
        <v>0.873</v>
      </c>
      <c r="G18" s="151">
        <f>[30]utt_slope_b1!G7</f>
        <v>3.48</v>
      </c>
      <c r="H18" s="176">
        <f>[30]utt_slope_b1!H7</f>
        <v>9.82</v>
      </c>
      <c r="I18" s="153">
        <f>[30]utt_slope_b1!I7</f>
        <v>6.0000000000000001E-3</v>
      </c>
      <c r="J18" s="152">
        <f>[30]utt_slope_b1!J7</f>
        <v>1.0999999999999999E-2</v>
      </c>
      <c r="K18" s="154" t="str">
        <f>[30]utt_slope_b1!K7</f>
        <v>p&lt;0.05</v>
      </c>
      <c r="L18" s="184">
        <f t="shared" si="1"/>
        <v>1.9493406145969898</v>
      </c>
    </row>
    <row r="19" spans="1:12" x14ac:dyDescent="0.25">
      <c r="A19" s="149" t="s">
        <v>89</v>
      </c>
      <c r="B19" s="150"/>
      <c r="C19" s="150">
        <f>_xlfn.STDEV.S(C13:C18)</f>
        <v>3.616028728683812</v>
      </c>
    </row>
    <row r="20" spans="1:12" x14ac:dyDescent="0.25">
      <c r="A20" s="149" t="s">
        <v>90</v>
      </c>
      <c r="B20" s="279"/>
      <c r="C20" s="279">
        <f>AVERAGE(C13:C18)</f>
        <v>4.097833333333333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17" priority="20" stopIfTrue="1" operator="lessThan">
      <formula>0.0001</formula>
    </cfRule>
    <cfRule type="cellIs" dxfId="16" priority="21" stopIfTrue="1" operator="lessThan">
      <formula>0.001</formula>
    </cfRule>
    <cfRule type="cellIs" dxfId="15" priority="22" stopIfTrue="1" operator="lessThan">
      <formula>0.05</formula>
    </cfRule>
    <cfRule type="cellIs" dxfId="1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20"/>
  <sheetViews>
    <sheetView showGridLines="0" zoomScale="83" zoomScaleNormal="83" workbookViewId="0">
      <selection activeCell="A18" sqref="A18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  <c r="B1" s="174" t="s">
        <v>82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3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[35]utt_f0_full_phon_b1!C2</f>
        <v>0.45900000000000002</v>
      </c>
      <c r="D3" s="159">
        <f>[35]utt_f0_full_phon_b1!D2</f>
        <v>-0.22005042684506099</v>
      </c>
      <c r="E3" s="159">
        <f>[35]utt_f0_full_phon_b1!E2</f>
        <v>1.13874213877986</v>
      </c>
      <c r="F3" s="159">
        <f>[35]utt_f0_full_phon_b1!F2</f>
        <v>0.30599999999999999</v>
      </c>
      <c r="G3" s="159">
        <f>[35]utt_f0_full_phon_b1!G2</f>
        <v>1.502</v>
      </c>
      <c r="H3" s="161">
        <f>[35]utt_f0_full_phon_b1!H2</f>
        <v>10.220000000000001</v>
      </c>
      <c r="I3" s="161">
        <f>[35]utt_f0_full_phon_b1!I2</f>
        <v>0.16300000000000001</v>
      </c>
      <c r="J3" s="181">
        <f>[35]utt_f0_full_phon_b1!J2</f>
        <v>0.22600000000000001</v>
      </c>
      <c r="K3" s="162">
        <f>[35]utt_f0_full_phon_b1!K2</f>
        <v>0</v>
      </c>
      <c r="L3" s="184">
        <f>C3-D3</f>
        <v>0.67905042684506101</v>
      </c>
    </row>
    <row r="4" spans="1:12" ht="33.6" customHeight="1" thickBot="1" x14ac:dyDescent="0.3">
      <c r="A4" s="158" t="s">
        <v>14</v>
      </c>
      <c r="B4" s="155" t="s">
        <v>16</v>
      </c>
      <c r="C4" s="155">
        <f>[35]utt_f0_full_phon_b1!C3</f>
        <v>0.59299999999999997</v>
      </c>
      <c r="D4" s="155">
        <f>[35]utt_f0_full_phon_b1!D3</f>
        <v>0.108555971998762</v>
      </c>
      <c r="E4" s="155">
        <f>[35]utt_f0_full_phon_b1!E3</f>
        <v>1.07793168535232</v>
      </c>
      <c r="F4" s="155">
        <f>[35]utt_f0_full_phon_b1!F3</f>
        <v>0.219</v>
      </c>
      <c r="G4" s="155">
        <f>[35]utt_f0_full_phon_b1!G3</f>
        <v>2.7029999999999998</v>
      </c>
      <c r="H4" s="157">
        <f>[35]utt_f0_full_phon_b1!H3</f>
        <v>10.71</v>
      </c>
      <c r="I4" s="157">
        <f>[35]utt_f0_full_phon_b1!I3</f>
        <v>2.1000000000000001E-2</v>
      </c>
      <c r="J4" s="180">
        <f>[35]utt_f0_full_phon_b1!J3</f>
        <v>3.5000000000000003E-2</v>
      </c>
      <c r="K4" s="158" t="str">
        <f>[35]utt_f0_full_phon_b1!K3</f>
        <v>p&lt;0.05</v>
      </c>
      <c r="L4" s="184">
        <f t="shared" ref="L4:L8" si="0">C4-D4</f>
        <v>0.48444402800123798</v>
      </c>
    </row>
    <row r="5" spans="1:12" ht="33.6" customHeight="1" thickBot="1" x14ac:dyDescent="0.3">
      <c r="A5" s="158" t="s">
        <v>14</v>
      </c>
      <c r="B5" s="155" t="s">
        <v>17</v>
      </c>
      <c r="C5" s="155">
        <f>[35]utt_f0_full_phon_b1!C4</f>
        <v>1.8879999999999999</v>
      </c>
      <c r="D5" s="155">
        <f>[35]utt_f0_full_phon_b1!D4</f>
        <v>0.97877213495711402</v>
      </c>
      <c r="E5" s="155">
        <f>[35]utt_f0_full_phon_b1!E4</f>
        <v>2.7975602321976498</v>
      </c>
      <c r="F5" s="155">
        <f>[35]utt_f0_full_phon_b1!F4</f>
        <v>0.41499999999999998</v>
      </c>
      <c r="G5" s="155">
        <f>[35]utt_f0_full_phon_b1!G4</f>
        <v>4.5519999999999996</v>
      </c>
      <c r="H5" s="157">
        <f>[35]utt_f0_full_phon_b1!H4</f>
        <v>11.37</v>
      </c>
      <c r="I5" s="157">
        <f>[35]utt_f0_full_phon_b1!I4</f>
        <v>7.6000000000000004E-4</v>
      </c>
      <c r="J5" s="180">
        <f>[35]utt_f0_full_phon_b1!J4</f>
        <v>2E-3</v>
      </c>
      <c r="K5" s="158" t="str">
        <f>[35]utt_f0_full_phon_b1!K4</f>
        <v>p&lt;0.01</v>
      </c>
      <c r="L5" s="184">
        <f t="shared" si="0"/>
        <v>0.90922786504288589</v>
      </c>
    </row>
    <row r="6" spans="1:12" ht="33.6" customHeight="1" thickBot="1" x14ac:dyDescent="0.3">
      <c r="A6" s="158" t="s">
        <v>15</v>
      </c>
      <c r="B6" s="155" t="s">
        <v>16</v>
      </c>
      <c r="C6" s="155">
        <f>[35]utt_f0_full_phon_b1!C5</f>
        <v>0.13400000000000001</v>
      </c>
      <c r="D6" s="155">
        <f>[35]utt_f0_full_phon_b1!D5</f>
        <v>-0.413107830585073</v>
      </c>
      <c r="E6" s="155">
        <f>[35]utt_f0_full_phon_b1!E5</f>
        <v>0.680940016530581</v>
      </c>
      <c r="F6" s="155">
        <f>[35]utt_f0_full_phon_b1!F5</f>
        <v>0.247</v>
      </c>
      <c r="G6" s="155">
        <f>[35]utt_f0_full_phon_b1!G5</f>
        <v>0.54300000000000004</v>
      </c>
      <c r="H6" s="157">
        <f>[35]utt_f0_full_phon_b1!H5</f>
        <v>10.4</v>
      </c>
      <c r="I6" s="157">
        <f>[35]utt_f0_full_phon_b1!I5</f>
        <v>0.59899999999999998</v>
      </c>
      <c r="J6" s="180">
        <f>[35]utt_f0_full_phon_b1!J5</f>
        <v>0.69099999999999995</v>
      </c>
      <c r="K6" s="158">
        <f>[35]utt_f0_full_phon_b1!K5</f>
        <v>0</v>
      </c>
      <c r="L6" s="184">
        <f t="shared" si="0"/>
        <v>0.54710783058507295</v>
      </c>
    </row>
    <row r="7" spans="1:12" ht="33.6" customHeight="1" thickBot="1" x14ac:dyDescent="0.3">
      <c r="A7" s="158" t="s">
        <v>15</v>
      </c>
      <c r="B7" s="155" t="s">
        <v>17</v>
      </c>
      <c r="C7" s="155">
        <f>[35]utt_f0_full_phon_b1!C6</f>
        <v>1.429</v>
      </c>
      <c r="D7" s="155">
        <f>[35]utt_f0_full_phon_b1!D6</f>
        <v>9.6942606097958794E-2</v>
      </c>
      <c r="E7" s="155">
        <f>[35]utt_f0_full_phon_b1!E6</f>
        <v>2.7607365670051802</v>
      </c>
      <c r="F7" s="155">
        <f>[35]utt_f0_full_phon_b1!F6</f>
        <v>0.60299999999999998</v>
      </c>
      <c r="G7" s="155">
        <f>[35]utt_f0_full_phon_b1!G6</f>
        <v>2.3679999999999999</v>
      </c>
      <c r="H7" s="157">
        <f>[35]utt_f0_full_phon_b1!H6</f>
        <v>10.74</v>
      </c>
      <c r="I7" s="157">
        <f>[35]utt_f0_full_phon_b1!I6</f>
        <v>3.7999999999999999E-2</v>
      </c>
      <c r="J7" s="180">
        <f>[35]utt_f0_full_phon_b1!J6</f>
        <v>5.8000000000000003E-2</v>
      </c>
      <c r="K7" s="158">
        <f>[35]utt_f0_full_phon_b1!K6</f>
        <v>0</v>
      </c>
      <c r="L7" s="184">
        <f t="shared" si="0"/>
        <v>1.3320573939020413</v>
      </c>
    </row>
    <row r="8" spans="1:12" ht="33.6" customHeight="1" thickBot="1" x14ac:dyDescent="0.3">
      <c r="A8" s="154" t="s">
        <v>16</v>
      </c>
      <c r="B8" s="151" t="s">
        <v>17</v>
      </c>
      <c r="C8" s="151">
        <f>[35]utt_f0_full_phon_b1!C7</f>
        <v>1.2949999999999999</v>
      </c>
      <c r="D8" s="151">
        <f>[35]utt_f0_full_phon_b1!D7</f>
        <v>0.10486616429503801</v>
      </c>
      <c r="E8" s="151">
        <f>[35]utt_f0_full_phon_b1!E7</f>
        <v>2.4849804137817202</v>
      </c>
      <c r="F8" s="151">
        <f>[35]utt_f0_full_phon_b1!F7</f>
        <v>0.53600000000000003</v>
      </c>
      <c r="G8" s="151">
        <f>[35]utt_f0_full_phon_b1!G7</f>
        <v>2.4180000000000001</v>
      </c>
      <c r="H8" s="153">
        <f>[35]utt_f0_full_phon_b1!H7</f>
        <v>10.220000000000001</v>
      </c>
      <c r="I8" s="153">
        <f>[35]utt_f0_full_phon_b1!I7</f>
        <v>3.5999999999999997E-2</v>
      </c>
      <c r="J8" s="179">
        <f>[35]utt_f0_full_phon_b1!J7</f>
        <v>5.6000000000000001E-2</v>
      </c>
      <c r="K8" s="154">
        <f>[35]utt_f0_full_phon_b1!K7</f>
        <v>0</v>
      </c>
      <c r="L8" s="184">
        <f t="shared" si="0"/>
        <v>1.190133835704962</v>
      </c>
    </row>
    <row r="9" spans="1:12" x14ac:dyDescent="0.25">
      <c r="A9" s="149" t="s">
        <v>89</v>
      </c>
      <c r="B9" s="150"/>
      <c r="C9" s="150">
        <f>_xlfn.STDEV.S(C3:C8)</f>
        <v>0.67247235383074788</v>
      </c>
    </row>
    <row r="10" spans="1:12" x14ac:dyDescent="0.25">
      <c r="A10" s="149" t="s">
        <v>90</v>
      </c>
      <c r="B10" s="279"/>
      <c r="C10" s="279">
        <f>AVERAGE(C3:C8)</f>
        <v>0.96633333333333338</v>
      </c>
    </row>
    <row r="11" spans="1:12" ht="33" customHeight="1" thickBot="1" x14ac:dyDescent="0.3">
      <c r="A11" s="167" t="s">
        <v>54</v>
      </c>
      <c r="B11" s="174" t="s">
        <v>82</v>
      </c>
    </row>
    <row r="12" spans="1:12" ht="25.15" customHeight="1" thickTop="1" thickBot="1" x14ac:dyDescent="0.3">
      <c r="A12" s="163" t="str">
        <f>[36]utt_slope_full_phon_b1!A1</f>
        <v>intercept</v>
      </c>
      <c r="B12" s="163" t="str">
        <f>[36]utt_slope_full_phon_b1!B1</f>
        <v>slope</v>
      </c>
      <c r="C12" s="163" t="str">
        <f>[36]utt_slope_full_phon_b1!C1</f>
        <v>estimate</v>
      </c>
      <c r="D12" s="163" t="str">
        <f>[36]utt_slope_full_phon_b1!D1</f>
        <v>conf.low</v>
      </c>
      <c r="E12" s="163" t="str">
        <f>[36]utt_slope_full_phon_b1!E1</f>
        <v>conf.high</v>
      </c>
      <c r="F12" s="163" t="str">
        <f>[36]utt_slope_full_phon_b1!F1</f>
        <v>std.error</v>
      </c>
      <c r="G12" s="163" t="str">
        <f>[36]utt_slope_full_phon_b1!G1</f>
        <v>t.value</v>
      </c>
      <c r="H12" s="163" t="str">
        <f>[36]utt_slope_full_phon_b1!H1</f>
        <v>df</v>
      </c>
      <c r="I12" s="164" t="str">
        <f>[36]utt_slope_full_phon_b1!I1</f>
        <v>p.value</v>
      </c>
      <c r="J12" s="164" t="str">
        <f>[36]utt_slope_full_phon_b1!J1</f>
        <v>p.adj (BH)</v>
      </c>
      <c r="K12" s="163" t="str">
        <f>[36]utt_slope_full_phon_b1!K1</f>
        <v>signif.</v>
      </c>
      <c r="L12" s="183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[36]utt_slope_full_phon_b1!C2</f>
        <v>-2.1459999999999999</v>
      </c>
      <c r="D13" s="159">
        <f>[36]utt_slope_full_phon_b1!D2</f>
        <v>-4.9290303939881603</v>
      </c>
      <c r="E13" s="159">
        <f>[36]utt_slope_full_phon_b1!E2</f>
        <v>0.63656715648571705</v>
      </c>
      <c r="F13" s="159">
        <f>[36]utt_slope_full_phon_b1!F2</f>
        <v>1.2509999999999999</v>
      </c>
      <c r="G13" s="159">
        <f>[36]utt_slope_full_phon_b1!G2</f>
        <v>-1.716</v>
      </c>
      <c r="H13" s="159">
        <f>[36]utt_slope_full_phon_b1!H2</f>
        <v>10.11</v>
      </c>
      <c r="I13" s="161">
        <f>[36]utt_slope_full_phon_b1!I2</f>
        <v>0.11700000000000001</v>
      </c>
      <c r="J13" s="160">
        <f>[36]utt_slope_full_phon_b1!J2</f>
        <v>0.17100000000000001</v>
      </c>
      <c r="K13" s="162">
        <f>[36]utt_slope_full_phon_b1!K2</f>
        <v>0</v>
      </c>
      <c r="L13" s="184">
        <f t="shared" ref="L13:L18" si="1">C13-D13</f>
        <v>2.7830303939881604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[36]utt_slope_full_phon_b1!C3</f>
        <v>2.9529999999999998</v>
      </c>
      <c r="D14" s="155">
        <f>[36]utt_slope_full_phon_b1!D3</f>
        <v>1.3126526962549201</v>
      </c>
      <c r="E14" s="155">
        <f>[36]utt_slope_full_phon_b1!E3</f>
        <v>4.5931569639928203</v>
      </c>
      <c r="F14" s="155">
        <f>[36]utt_slope_full_phon_b1!F3</f>
        <v>0.73699999999999999</v>
      </c>
      <c r="G14" s="155">
        <f>[36]utt_slope_full_phon_b1!G3</f>
        <v>4.0049999999999999</v>
      </c>
      <c r="H14" s="177">
        <f>[36]utt_slope_full_phon_b1!H3</f>
        <v>10.130000000000001</v>
      </c>
      <c r="I14" s="157">
        <f>[36]utt_slope_full_phon_b1!I3</f>
        <v>2E-3</v>
      </c>
      <c r="J14" s="156">
        <f>[36]utt_slope_full_phon_b1!J3</f>
        <v>5.0000000000000001E-3</v>
      </c>
      <c r="K14" s="158" t="str">
        <f>[36]utt_slope_full_phon_b1!K3</f>
        <v>p&lt;0.01</v>
      </c>
      <c r="L14" s="184">
        <f t="shared" si="1"/>
        <v>1.6403473037450798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[36]utt_slope_full_phon_b1!C4</f>
        <v>5.1980000000000004</v>
      </c>
      <c r="D15" s="155">
        <f>[36]utt_slope_full_phon_b1!D4</f>
        <v>3.0446183296168501</v>
      </c>
      <c r="E15" s="155">
        <f>[36]utt_slope_full_phon_b1!E4</f>
        <v>7.35198205145001</v>
      </c>
      <c r="F15" s="155">
        <f>[36]utt_slope_full_phon_b1!F4</f>
        <v>0.97499999999999998</v>
      </c>
      <c r="G15" s="155">
        <f>[36]utt_slope_full_phon_b1!G4</f>
        <v>5.3310000000000004</v>
      </c>
      <c r="H15" s="177">
        <f>[36]utt_slope_full_phon_b1!H4</f>
        <v>10.7</v>
      </c>
      <c r="I15" s="157">
        <f>[36]utt_slope_full_phon_b1!I4</f>
        <v>2.5999999999999998E-4</v>
      </c>
      <c r="J15" s="156">
        <f>[36]utt_slope_full_phon_b1!J4</f>
        <v>7.5000000000000002E-4</v>
      </c>
      <c r="K15" s="158" t="str">
        <f>[36]utt_slope_full_phon_b1!K4</f>
        <v>p&lt;0.001</v>
      </c>
      <c r="L15" s="184">
        <f t="shared" si="1"/>
        <v>2.1533816703831503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[36]utt_slope_full_phon_b1!C5</f>
        <v>5.0990000000000002</v>
      </c>
      <c r="D16" s="155">
        <f>[36]utt_slope_full_phon_b1!D5</f>
        <v>2.1411321970980501</v>
      </c>
      <c r="E16" s="155">
        <f>[36]utt_slope_full_phon_b1!E5</f>
        <v>8.0571419515684397</v>
      </c>
      <c r="F16" s="155">
        <f>[36]utt_slope_full_phon_b1!F5</f>
        <v>1.3320000000000001</v>
      </c>
      <c r="G16" s="155">
        <f>[36]utt_slope_full_phon_b1!G5</f>
        <v>3.8290000000000002</v>
      </c>
      <c r="H16" s="177">
        <f>[36]utt_slope_full_phon_b1!H5</f>
        <v>10.24</v>
      </c>
      <c r="I16" s="157">
        <f>[36]utt_slope_full_phon_b1!I5</f>
        <v>3.0000000000000001E-3</v>
      </c>
      <c r="J16" s="156">
        <f>[36]utt_slope_full_phon_b1!J5</f>
        <v>6.0000000000000001E-3</v>
      </c>
      <c r="K16" s="158" t="str">
        <f>[36]utt_slope_full_phon_b1!K5</f>
        <v>p&lt;0.01</v>
      </c>
      <c r="L16" s="184">
        <f t="shared" si="1"/>
        <v>2.9578678029019501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[36]utt_slope_full_phon_b1!C6</f>
        <v>7.3449999999999998</v>
      </c>
      <c r="D17" s="155">
        <f>[36]utt_slope_full_phon_b1!D6</f>
        <v>3.71812207363834</v>
      </c>
      <c r="E17" s="155">
        <f>[36]utt_slope_full_phon_b1!E6</f>
        <v>10.970935220656701</v>
      </c>
      <c r="F17" s="155">
        <f>[36]utt_slope_full_phon_b1!F6</f>
        <v>1.6359999999999999</v>
      </c>
      <c r="G17" s="155">
        <f>[36]utt_slope_full_phon_b1!G6</f>
        <v>4.4889999999999999</v>
      </c>
      <c r="H17" s="177">
        <f>[36]utt_slope_full_phon_b1!H6</f>
        <v>10.4</v>
      </c>
      <c r="I17" s="157">
        <f>[36]utt_slope_full_phon_b1!I6</f>
        <v>1E-3</v>
      </c>
      <c r="J17" s="156">
        <f>[36]utt_slope_full_phon_b1!J6</f>
        <v>2E-3</v>
      </c>
      <c r="K17" s="158" t="str">
        <f>[36]utt_slope_full_phon_b1!K6</f>
        <v>p&lt;0.01</v>
      </c>
      <c r="L17" s="184">
        <f t="shared" si="1"/>
        <v>3.6268779263616597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[36]utt_slope_full_phon_b1!C7</f>
        <v>2.2450000000000001</v>
      </c>
      <c r="D18" s="151">
        <f>[36]utt_slope_full_phon_b1!D7</f>
        <v>0.68851001052336003</v>
      </c>
      <c r="E18" s="151">
        <f>[36]utt_slope_full_phon_b1!E7</f>
        <v>3.8022848016253601</v>
      </c>
      <c r="F18" s="151">
        <f>[36]utt_slope_full_phon_b1!F7</f>
        <v>0.69899999999999995</v>
      </c>
      <c r="G18" s="151">
        <f>[36]utt_slope_full_phon_b1!G7</f>
        <v>3.2130000000000001</v>
      </c>
      <c r="H18" s="176">
        <f>[36]utt_slope_full_phon_b1!H7</f>
        <v>10.02</v>
      </c>
      <c r="I18" s="153">
        <f>[36]utt_slope_full_phon_b1!I7</f>
        <v>8.9999999999999993E-3</v>
      </c>
      <c r="J18" s="152">
        <f>[36]utt_slope_full_phon_b1!J7</f>
        <v>1.6E-2</v>
      </c>
      <c r="K18" s="154" t="str">
        <f>[36]utt_slope_full_phon_b1!K7</f>
        <v>p&lt;0.05</v>
      </c>
      <c r="L18" s="184">
        <f t="shared" si="1"/>
        <v>1.5564899894766402</v>
      </c>
    </row>
    <row r="19" spans="1:12" x14ac:dyDescent="0.25">
      <c r="A19" s="149" t="s">
        <v>89</v>
      </c>
      <c r="B19" s="150"/>
      <c r="C19" s="150">
        <f>_xlfn.STDEV.S(C13:C18)</f>
        <v>3.2851171668602626</v>
      </c>
    </row>
    <row r="20" spans="1:12" x14ac:dyDescent="0.25">
      <c r="A20" s="149" t="s">
        <v>90</v>
      </c>
      <c r="B20" s="279"/>
      <c r="C20" s="279">
        <f>AVERAGE(C13:C18)</f>
        <v>3.4490000000000003</v>
      </c>
    </row>
  </sheetData>
  <conditionalFormatting sqref="J18">
    <cfRule type="containsText" dxfId="13" priority="11" stopIfTrue="1" operator="containsText" text="p&lt;0.001">
      <formula>NOT(ISERROR(SEARCH("p&lt;0.001",J18)))</formula>
    </cfRule>
    <cfRule type="containsText" dxfId="12" priority="12" stopIfTrue="1" operator="containsText" text="p&lt;0.01">
      <formula>NOT(ISERROR(SEARCH("p&lt;0.01",J18)))</formula>
    </cfRule>
    <cfRule type="containsText" dxfId="11" priority="13" stopIfTrue="1" operator="containsText" text="p&lt;0.05">
      <formula>NOT(ISERROR(SEARCH("p&lt;0.05",J18)))</formula>
    </cfRule>
    <cfRule type="containsText" dxfId="10" priority="14" stopIfTrue="1" operator="containsText" text="p&lt;0.1">
      <formula>NOT(ISERROR(SEARCH("p&lt;0.1",J18)))</formula>
    </cfRule>
  </conditionalFormatting>
  <conditionalFormatting sqref="J18">
    <cfRule type="containsText" dxfId="9" priority="3" stopIfTrue="1" operator="containsText" text="p&lt;0.001">
      <formula>NOT(ISERROR(SEARCH("p&lt;0.001",J18)))</formula>
    </cfRule>
    <cfRule type="containsText" dxfId="8" priority="4" stopIfTrue="1" operator="containsText" text="p&lt;0.01">
      <formula>NOT(ISERROR(SEARCH("p&lt;0.01",J18)))</formula>
    </cfRule>
    <cfRule type="containsText" dxfId="7" priority="5" stopIfTrue="1" operator="containsText" text="p&lt;0.05">
      <formula>NOT(ISERROR(SEARCH("p&lt;0.05",J18)))</formula>
    </cfRule>
    <cfRule type="containsText" dxfId="6" priority="6" stopIfTrue="1" operator="containsText" text="p&lt;0.1">
      <formula>NOT(ISERROR(SEARCH("p&lt;0.1",J18)))</formula>
    </cfRule>
  </conditionalFormatting>
  <conditionalFormatting sqref="K13:K18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3:J8 I13:J1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5" x14ac:dyDescent="0.25"/>
  <sheetData>
    <row r="17" spans="11:12" x14ac:dyDescent="0.25">
      <c r="K17">
        <v>0.85098039199999997</v>
      </c>
      <c r="L17" t="str">
        <f>DEC2HEX((ROUND(K17*255,0)))</f>
        <v>D9</v>
      </c>
    </row>
    <row r="18" spans="11:12" x14ac:dyDescent="0.25">
      <c r="K18">
        <v>0.37254902000000001</v>
      </c>
      <c r="L18" t="str">
        <f>DEC2HEX((ROUND(K18*255,0)))</f>
        <v>5F</v>
      </c>
    </row>
    <row r="19" spans="11:12" x14ac:dyDescent="0.25">
      <c r="K19">
        <v>7.843137E-3</v>
      </c>
      <c r="L19" t="str">
        <f>DEC2HEX((ROUND(K19*255,0)))</f>
        <v>2</v>
      </c>
    </row>
    <row r="23" spans="11:12" x14ac:dyDescent="0.25">
      <c r="K23">
        <v>1</v>
      </c>
      <c r="L23" t="str">
        <f>DEC2HEX((ROUND(K23*255,0)))</f>
        <v>FF</v>
      </c>
    </row>
    <row r="24" spans="11:12" x14ac:dyDescent="0.25">
      <c r="K24">
        <v>0.62254902000000001</v>
      </c>
      <c r="L24" t="str">
        <f>DEC2HEX((ROUND(K24*255,0)))</f>
        <v>9F</v>
      </c>
    </row>
    <row r="25" spans="11:12" x14ac:dyDescent="0.25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111" zoomScaleNormal="111" zoomScaleSheetLayoutView="55" workbookViewId="0">
      <selection sqref="A1:J1"/>
    </sheetView>
  </sheetViews>
  <sheetFormatPr defaultColWidth="13.85546875" defaultRowHeight="12.75" x14ac:dyDescent="0.2"/>
  <cols>
    <col min="1" max="1" width="17.140625" style="92" customWidth="1"/>
    <col min="2" max="8" width="11.85546875" style="89" customWidth="1"/>
    <col min="9" max="10" width="11.85546875" style="91" customWidth="1"/>
    <col min="11" max="11" width="11.42578125" style="185" customWidth="1"/>
    <col min="12" max="12" width="11.42578125" style="89" customWidth="1"/>
    <col min="13" max="14" width="8.7109375" style="89" customWidth="1"/>
    <col min="15" max="15" width="11.42578125" style="90" customWidth="1"/>
    <col min="16" max="16" width="9.7109375" style="90" customWidth="1"/>
    <col min="17" max="17" width="11.42578125" style="90" customWidth="1"/>
    <col min="18" max="19" width="7.7109375" style="89" customWidth="1"/>
    <col min="20" max="21" width="11.42578125" style="89" customWidth="1"/>
    <col min="22" max="23" width="8.7109375" style="89" customWidth="1"/>
    <col min="24" max="24" width="11.42578125" style="90" customWidth="1"/>
    <col min="25" max="25" width="9.7109375" style="90" customWidth="1"/>
    <col min="26" max="26" width="11.42578125" style="90" customWidth="1"/>
    <col min="27" max="28" width="7.7109375" style="89" customWidth="1"/>
    <col min="29" max="30" width="11.42578125" style="89" customWidth="1"/>
    <col min="31" max="32" width="8.7109375" style="89" customWidth="1"/>
    <col min="33" max="33" width="11.42578125" style="90" customWidth="1"/>
    <col min="34" max="34" width="9.7109375" style="90" customWidth="1"/>
    <col min="35" max="35" width="11.42578125" style="90" customWidth="1"/>
    <col min="36" max="37" width="7.7109375" style="89" customWidth="1"/>
    <col min="38" max="39" width="11.42578125" style="89" customWidth="1"/>
    <col min="40" max="41" width="8.7109375" style="89" customWidth="1"/>
    <col min="42" max="42" width="11.42578125" style="90" customWidth="1"/>
    <col min="43" max="43" width="9.7109375" style="90" customWidth="1"/>
    <col min="44" max="44" width="11.42578125" style="90" customWidth="1"/>
    <col min="45" max="46" width="7.7109375" style="89" customWidth="1"/>
    <col min="47" max="48" width="11.42578125" style="89" customWidth="1"/>
    <col min="49" max="50" width="8.7109375" style="89" customWidth="1"/>
    <col min="51" max="51" width="11.42578125" style="90" customWidth="1"/>
    <col min="52" max="52" width="9.7109375" style="90" customWidth="1"/>
    <col min="53" max="53" width="11.42578125" style="90" customWidth="1"/>
    <col min="54" max="55" width="11.42578125" style="89" customWidth="1"/>
    <col min="56" max="16384" width="13.85546875" style="89"/>
  </cols>
  <sheetData>
    <row r="1" spans="1:53" s="268" customFormat="1" ht="24" customHeight="1" thickBot="1" x14ac:dyDescent="0.35">
      <c r="A1" s="276" t="s">
        <v>78</v>
      </c>
      <c r="B1" s="276"/>
      <c r="C1" s="276"/>
      <c r="D1" s="276"/>
      <c r="E1" s="276"/>
      <c r="F1" s="276"/>
      <c r="G1" s="276"/>
      <c r="H1" s="276"/>
      <c r="I1" s="276"/>
      <c r="J1" s="276"/>
      <c r="O1" s="269"/>
      <c r="P1" s="269"/>
      <c r="Q1" s="269"/>
      <c r="X1" s="269"/>
      <c r="Y1" s="269"/>
      <c r="Z1" s="269"/>
      <c r="AG1" s="269"/>
      <c r="AH1" s="269"/>
      <c r="AI1" s="269"/>
      <c r="AP1" s="269"/>
      <c r="AQ1" s="269"/>
      <c r="AR1" s="269"/>
      <c r="AY1" s="269"/>
      <c r="AZ1" s="269"/>
      <c r="BA1" s="269"/>
    </row>
    <row r="2" spans="1:53" s="113" customFormat="1" ht="15.75" customHeight="1" thickTop="1" thickBot="1" x14ac:dyDescent="0.25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83" t="s">
        <v>64</v>
      </c>
    </row>
    <row r="3" spans="1:53" s="112" customFormat="1" ht="15.75" customHeight="1" thickTop="1" thickBot="1" x14ac:dyDescent="0.25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0">
        <f>[9]Mode_l_f0_b1!H2</f>
        <v>610.99</v>
      </c>
      <c r="H3" s="110">
        <f>[9]Mode_l_f0_b1!I2</f>
        <v>0.432</v>
      </c>
      <c r="I3" s="214">
        <f>[9]Mode_l_f0_b1!J2</f>
        <v>0.53</v>
      </c>
      <c r="J3" s="97">
        <f>[9]Mode_l_f0_b1!K2</f>
        <v>0</v>
      </c>
      <c r="K3" s="184">
        <f>B3-C3</f>
        <v>0.31042056809001101</v>
      </c>
    </row>
    <row r="4" spans="1:53" s="112" customFormat="1" ht="15.75" customHeight="1" thickBot="1" x14ac:dyDescent="0.25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3">
        <f>[10]Mode_h_f0_b1!H2</f>
        <v>615.98</v>
      </c>
      <c r="H4" s="99">
        <f>[10]Mode_h_f0_b1!I2</f>
        <v>6.7000000000000004E-2</v>
      </c>
      <c r="I4" s="110">
        <f>[10]Mode_h_f0_b1!J2</f>
        <v>0.10199999999999999</v>
      </c>
      <c r="J4" s="97">
        <f>[10]Mode_h_f0_b1!K2</f>
        <v>0</v>
      </c>
      <c r="K4" s="184">
        <f>B4-C4</f>
        <v>0.43491905979188805</v>
      </c>
    </row>
    <row r="5" spans="1:53" s="111" customFormat="1" ht="15.75" customHeight="1" thickBot="1" x14ac:dyDescent="0.25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0">
        <f>[11]Mode_l_t_b1!H2</f>
        <v>610.88</v>
      </c>
      <c r="H5" s="214">
        <f>[11]Mode_l_t_b1!I2</f>
        <v>0.84</v>
      </c>
      <c r="I5" s="110">
        <f>[11]Mode_l_t_b1!J2</f>
        <v>0.92800000000000005</v>
      </c>
      <c r="J5" s="97">
        <f>[11]Mode_l_t_b1!K2</f>
        <v>0</v>
      </c>
      <c r="K5" s="184">
        <f>B5-C5</f>
        <v>3.9377894989086499</v>
      </c>
    </row>
    <row r="6" spans="1:53" s="111" customFormat="1" ht="15.75" customHeight="1" thickBot="1" x14ac:dyDescent="0.25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0">
        <f>[12]Mode_h_t_b1!H2</f>
        <v>613.04</v>
      </c>
      <c r="H6" s="214">
        <f>[12]Mode_h_t_b1!I2</f>
        <v>0.9</v>
      </c>
      <c r="I6" s="98">
        <f>[12]Mode_h_t_b1!J2</f>
        <v>0.93799999999999994</v>
      </c>
      <c r="J6" s="97">
        <f>[12]Mode_h_t_b1!K2</f>
        <v>0</v>
      </c>
      <c r="K6" s="184">
        <f>B6-C6</f>
        <v>5.80339303444143</v>
      </c>
    </row>
    <row r="7" spans="1:53" ht="15.75" customHeight="1" thickTop="1" thickBot="1" x14ac:dyDescent="0.25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107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83" t="s">
        <v>64</v>
      </c>
    </row>
    <row r="8" spans="1:53" ht="15.75" customHeight="1" thickTop="1" thickBot="1" x14ac:dyDescent="0.25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0">
        <f>[9]Mode_l_f0_b1!H3</f>
        <v>611.13</v>
      </c>
      <c r="H8" s="99">
        <f>[9]Mode_l_f0_b1!I3</f>
        <v>1.1E-22</v>
      </c>
      <c r="I8" s="98">
        <f>[9]Mode_l_f0_b1!J3</f>
        <v>1.3000000000000001E-21</v>
      </c>
      <c r="J8" s="97" t="str">
        <f>[9]Mode_l_f0_b1!K3</f>
        <v>p&lt;0.0001</v>
      </c>
      <c r="K8" s="184">
        <f>B8-C8</f>
        <v>0.31162132741235005</v>
      </c>
    </row>
    <row r="9" spans="1:53" ht="15.75" customHeight="1" thickBot="1" x14ac:dyDescent="0.25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3">
        <f>[10]Mode_h_f0_b1!H3</f>
        <v>616.12</v>
      </c>
      <c r="H9" s="99">
        <f>[10]Mode_h_f0_b1!I3</f>
        <v>4.4999999999999998E-14</v>
      </c>
      <c r="I9" s="98">
        <f>[10]Mode_h_f0_b1!J3</f>
        <v>2.7000000000000001E-13</v>
      </c>
      <c r="J9" s="97" t="str">
        <f>[10]Mode_h_f0_b1!K3</f>
        <v>p&lt;0.0001</v>
      </c>
      <c r="K9" s="184">
        <f>B9-C9</f>
        <v>0.43698264343878002</v>
      </c>
    </row>
    <row r="10" spans="1:53" ht="15.75" customHeight="1" thickBot="1" x14ac:dyDescent="0.25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0">
        <f>[11]Mode_l_t_b1!H3</f>
        <v>611.71</v>
      </c>
      <c r="H10" s="110">
        <f>[11]Mode_l_t_b1!I3</f>
        <v>0.25600000000000001</v>
      </c>
      <c r="I10" s="110">
        <f>[11]Mode_l_t_b1!J3</f>
        <v>0.34</v>
      </c>
      <c r="J10" s="97">
        <f>[11]Mode_l_t_b1!K3</f>
        <v>0</v>
      </c>
      <c r="K10" s="184">
        <f>B10-C10</f>
        <v>3.9648052359264003</v>
      </c>
    </row>
    <row r="11" spans="1:53" ht="15.75" customHeight="1" thickBot="1" x14ac:dyDescent="0.25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94">
        <f>[12]Mode_h_t_b1!H3</f>
        <v>613.15</v>
      </c>
      <c r="H11" s="275">
        <f>[12]Mode_h_t_b1!I3</f>
        <v>0.40500000000000003</v>
      </c>
      <c r="I11" s="275">
        <f>[12]Mode_h_t_b1!J3</f>
        <v>0.51</v>
      </c>
      <c r="J11" s="93">
        <f>[12]Mode_h_t_b1!K3</f>
        <v>0</v>
      </c>
      <c r="K11" s="184">
        <f>B11-C11</f>
        <v>5.8361427567449908</v>
      </c>
    </row>
    <row r="12" spans="1:53" ht="15.75" customHeight="1" thickTop="1" thickBot="1" x14ac:dyDescent="0.25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107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83" t="s">
        <v>64</v>
      </c>
    </row>
    <row r="13" spans="1:53" ht="15.75" customHeight="1" thickTop="1" thickBot="1" x14ac:dyDescent="0.25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0">
        <f>[9]Mode_l_f0_b1!H4</f>
        <v>612.80999999999995</v>
      </c>
      <c r="H13" s="99">
        <f>[9]Mode_l_f0_b1!I4</f>
        <v>4.5000000000000001E-41</v>
      </c>
      <c r="I13" s="98">
        <f>[9]Mode_l_f0_b1!J4</f>
        <v>1.5000000000000001E-39</v>
      </c>
      <c r="J13" s="97" t="str">
        <f>[9]Mode_l_f0_b1!K4</f>
        <v>p&lt;0.0001</v>
      </c>
      <c r="K13" s="184">
        <f>B13-C13</f>
        <v>0.33705213710932025</v>
      </c>
    </row>
    <row r="14" spans="1:53" ht="15.75" customHeight="1" thickBot="1" x14ac:dyDescent="0.25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3">
        <f>[10]Mode_h_f0_b1!H4</f>
        <v>617.96</v>
      </c>
      <c r="H14" s="99">
        <f>[10]Mode_h_f0_b1!I4</f>
        <v>2.0999999999999999E-63</v>
      </c>
      <c r="I14" s="98">
        <f>[10]Mode_h_f0_b1!J4</f>
        <v>2.0000000000000001E-61</v>
      </c>
      <c r="J14" s="97" t="str">
        <f>[10]Mode_h_f0_b1!K4</f>
        <v>p&lt;0.0001</v>
      </c>
      <c r="K14" s="184">
        <f>B14-C14</f>
        <v>0.4684299910301597</v>
      </c>
    </row>
    <row r="15" spans="1:53" ht="15.75" customHeight="1" thickBot="1" x14ac:dyDescent="0.25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0">
        <f>[11]Mode_l_t_b1!H4</f>
        <v>597.23</v>
      </c>
      <c r="H15" s="99">
        <f>[11]Mode_l_t_b1!I4</f>
        <v>3.5999999999999999E-21</v>
      </c>
      <c r="I15" s="98">
        <f>[11]Mode_l_t_b1!J4</f>
        <v>3.5E-20</v>
      </c>
      <c r="J15" s="97" t="str">
        <f>[11]Mode_l_t_b1!K4</f>
        <v>p&lt;0.0001</v>
      </c>
      <c r="K15" s="184">
        <f>B15-C15</f>
        <v>4.2133203235006</v>
      </c>
    </row>
    <row r="16" spans="1:53" ht="15.75" customHeight="1" thickBot="1" x14ac:dyDescent="0.25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0">
        <f>[12]Mode_h_t_b1!H4</f>
        <v>614.88</v>
      </c>
      <c r="H16" s="99">
        <f>[12]Mode_h_t_b1!I4</f>
        <v>1.6999999999999999E-7</v>
      </c>
      <c r="I16" s="98">
        <f>[12]Mode_h_t_b1!J4</f>
        <v>6.8999999999999996E-7</v>
      </c>
      <c r="J16" s="97" t="str">
        <f>[12]Mode_h_t_b1!K4</f>
        <v>p&lt;0.0001</v>
      </c>
      <c r="K16" s="184">
        <f>B16-C16</f>
        <v>6.244068753224699</v>
      </c>
    </row>
    <row r="17" spans="1:11" ht="15.75" customHeight="1" thickTop="1" thickBot="1" x14ac:dyDescent="0.25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107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83" t="s">
        <v>64</v>
      </c>
    </row>
    <row r="18" spans="1:11" ht="15.75" customHeight="1" thickTop="1" thickBot="1" x14ac:dyDescent="0.25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0">
        <f>[9]Mode_l_f0_b1!H5</f>
        <v>611.16</v>
      </c>
      <c r="H18" s="99">
        <f>[9]Mode_l_f0_b1!I5</f>
        <v>8.1000000000000005E-20</v>
      </c>
      <c r="I18" s="98">
        <f>[9]Mode_l_f0_b1!J5</f>
        <v>7.0999999999999998E-19</v>
      </c>
      <c r="J18" s="97" t="str">
        <f>[9]Mode_l_f0_b1!K5</f>
        <v>p&lt;0.0001</v>
      </c>
      <c r="K18" s="184">
        <f>B18-C18</f>
        <v>0.3115474729478902</v>
      </c>
    </row>
    <row r="19" spans="1:11" ht="15.75" customHeight="1" thickBot="1" x14ac:dyDescent="0.25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3">
        <f>[10]Mode_h_f0_b1!H5</f>
        <v>616.16999999999996</v>
      </c>
      <c r="H19" s="99">
        <f>[10]Mode_h_f0_b1!I5</f>
        <v>5.6999999999999998E-9</v>
      </c>
      <c r="I19" s="98">
        <f>[10]Mode_h_f0_b1!J5</f>
        <v>2.4E-8</v>
      </c>
      <c r="J19" s="97" t="str">
        <f>[10]Mode_h_f0_b1!K5</f>
        <v>p&lt;0.0001</v>
      </c>
      <c r="K19" s="184">
        <f>B19-C19</f>
        <v>0.4366820669698539</v>
      </c>
    </row>
    <row r="20" spans="1:11" ht="15.75" customHeight="1" thickBot="1" x14ac:dyDescent="0.25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0">
        <f>[11]Mode_l_t_b1!H5</f>
        <v>611.91</v>
      </c>
      <c r="H20" s="214">
        <f>[11]Mode_l_t_b1!I5</f>
        <v>0.18</v>
      </c>
      <c r="I20" s="110">
        <f>[11]Mode_l_t_b1!J5</f>
        <v>0.246</v>
      </c>
      <c r="J20" s="97">
        <f>[11]Mode_l_t_b1!K5</f>
        <v>0</v>
      </c>
      <c r="K20" s="184">
        <f>B20-C20</f>
        <v>3.9527684461969699</v>
      </c>
    </row>
    <row r="21" spans="1:11" ht="15.75" customHeight="1" thickBot="1" x14ac:dyDescent="0.25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0">
        <f>[12]Mode_h_t_b1!H5</f>
        <v>613.21</v>
      </c>
      <c r="H21" s="110">
        <f>[12]Mode_h_t_b1!I5</f>
        <v>0.47799999999999998</v>
      </c>
      <c r="I21" s="98">
        <f>[12]Mode_h_t_b1!J5</f>
        <v>0.57999999999999996</v>
      </c>
      <c r="J21" s="97">
        <f>[12]Mode_h_t_b1!K5</f>
        <v>0</v>
      </c>
      <c r="K21" s="184">
        <f>B21-C21</f>
        <v>5.8287797320526895</v>
      </c>
    </row>
    <row r="22" spans="1:11" ht="15.75" customHeight="1" thickTop="1" thickBot="1" x14ac:dyDescent="0.25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107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83" t="s">
        <v>64</v>
      </c>
    </row>
    <row r="23" spans="1:11" ht="15.75" customHeight="1" thickTop="1" thickBot="1" x14ac:dyDescent="0.25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0">
        <f>[9]Mode_l_f0_b1!H6</f>
        <v>612.86</v>
      </c>
      <c r="H23" s="99">
        <f>[9]Mode_l_f0_b1!I6</f>
        <v>1.4000000000000001E-37</v>
      </c>
      <c r="I23" s="98">
        <f>[9]Mode_l_f0_b1!J6</f>
        <v>3.4000000000000003E-36</v>
      </c>
      <c r="J23" s="97" t="str">
        <f>[9]Mode_l_f0_b1!K6</f>
        <v>p&lt;0.0001</v>
      </c>
      <c r="K23" s="184">
        <f>B23-C23</f>
        <v>0.33704119223580031</v>
      </c>
    </row>
    <row r="24" spans="1:11" ht="15.75" customHeight="1" thickBot="1" x14ac:dyDescent="0.25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3">
        <f>[10]Mode_h_f0_b1!H6</f>
        <v>618.02</v>
      </c>
      <c r="H24" s="99">
        <f>[10]Mode_h_f0_b1!I6</f>
        <v>1.7999999999999999E-54</v>
      </c>
      <c r="I24" s="98">
        <f>[10]Mode_h_f0_b1!J6</f>
        <v>8.6999999999999994E-53</v>
      </c>
      <c r="J24" s="97" t="str">
        <f>[10]Mode_h_f0_b1!K6</f>
        <v>p&lt;0.0001</v>
      </c>
      <c r="K24" s="184">
        <f>B24-C24</f>
        <v>0.46856994189526979</v>
      </c>
    </row>
    <row r="25" spans="1:11" ht="15.75" customHeight="1" thickBot="1" x14ac:dyDescent="0.25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0">
        <f>[11]Mode_l_t_b1!H6</f>
        <v>595.95000000000005</v>
      </c>
      <c r="H25" s="99">
        <f>[11]Mode_l_t_b1!I6</f>
        <v>7.1999999999999996E-22</v>
      </c>
      <c r="I25" s="98">
        <f>[11]Mode_l_t_b1!J6</f>
        <v>7.8000000000000001E-21</v>
      </c>
      <c r="J25" s="97" t="str">
        <f>[11]Mode_l_t_b1!K6</f>
        <v>p&lt;0.0001</v>
      </c>
      <c r="K25" s="184">
        <f>B25-C25</f>
        <v>4.2133323747124969</v>
      </c>
    </row>
    <row r="26" spans="1:11" ht="15.75" customHeight="1" thickBot="1" x14ac:dyDescent="0.25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0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4">
        <f>B26-C26</f>
        <v>6.2549134169647012</v>
      </c>
    </row>
    <row r="27" spans="1:11" ht="15.75" customHeight="1" thickTop="1" thickBot="1" x14ac:dyDescent="0.25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107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83" t="s">
        <v>64</v>
      </c>
    </row>
    <row r="28" spans="1:11" ht="15.75" customHeight="1" thickTop="1" thickBot="1" x14ac:dyDescent="0.25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0">
        <f>[9]Mode_l_f0_b1!H7</f>
        <v>612.36</v>
      </c>
      <c r="H28" s="99">
        <f>[9]Mode_l_f0_b1!I7</f>
        <v>3.7E-7</v>
      </c>
      <c r="I28" s="98">
        <f>[9]Mode_l_f0_b1!J7</f>
        <v>1.3E-6</v>
      </c>
      <c r="J28" s="97" t="str">
        <f>[9]Mode_l_f0_b1!K7</f>
        <v>p&lt;0.0001</v>
      </c>
      <c r="K28" s="184">
        <f>B28-C28</f>
        <v>0.32871549241065501</v>
      </c>
    </row>
    <row r="29" spans="1:11" ht="15.75" customHeight="1" thickBot="1" x14ac:dyDescent="0.25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3">
        <f>[10]Mode_h_f0_b1!H7</f>
        <v>617.52</v>
      </c>
      <c r="H29" s="99">
        <f>[10]Mode_h_f0_b1!I7</f>
        <v>5.8999999999999998E-30</v>
      </c>
      <c r="I29" s="98">
        <f>[10]Mode_h_f0_b1!J7</f>
        <v>1.1E-28</v>
      </c>
      <c r="J29" s="97" t="str">
        <f>[10]Mode_h_f0_b1!K7</f>
        <v>p&lt;0.0001</v>
      </c>
      <c r="K29" s="184">
        <f>B29-C29</f>
        <v>0.45771552691430006</v>
      </c>
    </row>
    <row r="30" spans="1:11" ht="15.75" customHeight="1" thickBot="1" x14ac:dyDescent="0.25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0">
        <f>[11]Mode_l_t_b1!H7</f>
        <v>609.03</v>
      </c>
      <c r="H30" s="99">
        <f>[11]Mode_l_t_b1!I7</f>
        <v>5.3000000000000003E-18</v>
      </c>
      <c r="I30" s="98">
        <f>[11]Mode_l_t_b1!J7</f>
        <v>4.3000000000000002E-17</v>
      </c>
      <c r="J30" s="97" t="str">
        <f>[11]Mode_l_t_b1!K7</f>
        <v>p&lt;0.0001</v>
      </c>
      <c r="K30" s="184">
        <f>B30-C30</f>
        <v>4.1279555726015005</v>
      </c>
    </row>
    <row r="31" spans="1:11" ht="15.75" customHeight="1" thickBot="1" x14ac:dyDescent="0.25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0">
        <f>[12]Mode_h_t_b1!H7</f>
        <v>614.38</v>
      </c>
      <c r="H31" s="99">
        <f>[12]Mode_h_t_b1!I7</f>
        <v>4.7999999999999998E-6</v>
      </c>
      <c r="I31" s="98">
        <f>[12]Mode_h_t_b1!J7</f>
        <v>1.5999999999999999E-5</v>
      </c>
      <c r="J31" s="97" t="str">
        <f>[12]Mode_h_t_b1!K7</f>
        <v>p&lt;0.0001</v>
      </c>
      <c r="K31" s="184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53" priority="10" stopIfTrue="1" operator="lessThan">
      <formula>0.0001</formula>
    </cfRule>
    <cfRule type="cellIs" dxfId="152" priority="11" stopIfTrue="1" operator="lessThan">
      <formula>0.001</formula>
    </cfRule>
    <cfRule type="cellIs" dxfId="151" priority="12" stopIfTrue="1" operator="lessThan">
      <formula>0.05</formula>
    </cfRule>
    <cfRule type="cellIs" dxfId="150" priority="13" stopIfTrue="1" operator="lessThan">
      <formula>0.1</formula>
    </cfRule>
  </conditionalFormatting>
  <conditionalFormatting sqref="J8:J11 J13:J16 J3:J6 J18:J21 J23:J26 J28:J31">
    <cfRule type="containsText" dxfId="149" priority="5" stopIfTrue="1" operator="containsText" text="p&lt;0.0001">
      <formula>NOT(ISERROR(SEARCH("p&lt;0.0001",J3)))</formula>
    </cfRule>
    <cfRule type="containsText" dxfId="148" priority="6" stopIfTrue="1" operator="containsText" text="p&lt;0.001">
      <formula>NOT(ISERROR(SEARCH("p&lt;0.001",J3)))</formula>
    </cfRule>
    <cfRule type="containsText" dxfId="147" priority="7" stopIfTrue="1" operator="containsText" text="p&lt;0.01">
      <formula>NOT(ISERROR(SEARCH("p&lt;0.01",J3)))</formula>
    </cfRule>
    <cfRule type="containsText" dxfId="146" priority="8" stopIfTrue="1" operator="containsText" text="p&lt;0.05">
      <formula>NOT(ISERROR(SEARCH("p&lt;0.05",J3)))</formula>
    </cfRule>
    <cfRule type="containsText" dxfId="145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sqref="A1:J1"/>
    </sheetView>
  </sheetViews>
  <sheetFormatPr defaultColWidth="13.85546875" defaultRowHeight="12.75" x14ac:dyDescent="0.2"/>
  <cols>
    <col min="1" max="1" width="17.140625" style="41" customWidth="1"/>
    <col min="2" max="8" width="11.85546875" style="42" customWidth="1"/>
    <col min="9" max="10" width="11.85546875" style="43" customWidth="1"/>
    <col min="11" max="14" width="11.85546875" style="44" customWidth="1"/>
    <col min="15" max="15" width="11.85546875" style="45" customWidth="1"/>
    <col min="16" max="16" width="11.42578125" style="45" customWidth="1"/>
    <col min="17" max="18" width="7.7109375" style="44" customWidth="1"/>
    <col min="19" max="20" width="11.42578125" style="44" customWidth="1"/>
    <col min="21" max="21" width="8.7109375" style="44" customWidth="1"/>
    <col min="22" max="23" width="11.42578125" style="44" customWidth="1"/>
    <col min="24" max="24" width="11.140625" style="45" customWidth="1"/>
    <col min="25" max="25" width="11.42578125" style="45" customWidth="1"/>
    <col min="26" max="27" width="11.42578125" style="44" customWidth="1"/>
    <col min="28" max="16384" width="13.85546875" style="46"/>
  </cols>
  <sheetData>
    <row r="1" spans="1:27" s="268" customFormat="1" ht="24" customHeight="1" thickBot="1" x14ac:dyDescent="0.35">
      <c r="A1" s="276" t="s">
        <v>73</v>
      </c>
      <c r="B1" s="276"/>
      <c r="C1" s="276"/>
      <c r="D1" s="276"/>
      <c r="E1" s="276"/>
      <c r="F1" s="276"/>
      <c r="G1" s="276"/>
      <c r="H1" s="276"/>
      <c r="I1" s="276"/>
      <c r="J1" s="276"/>
      <c r="K1" s="266"/>
      <c r="L1" s="277" t="s">
        <v>80</v>
      </c>
      <c r="M1" s="277"/>
      <c r="N1" s="277"/>
      <c r="O1" s="267"/>
      <c r="P1" s="267"/>
      <c r="Q1" s="266"/>
      <c r="R1" s="266"/>
      <c r="S1" s="266"/>
      <c r="T1" s="266"/>
      <c r="U1" s="266"/>
      <c r="V1" s="266"/>
      <c r="W1" s="266"/>
      <c r="X1" s="267"/>
      <c r="Y1" s="267"/>
      <c r="Z1" s="266"/>
      <c r="AA1" s="266"/>
    </row>
    <row r="2" spans="1:27" ht="15.75" customHeight="1" thickTop="1" thickBot="1" x14ac:dyDescent="0.25">
      <c r="A2" s="47" t="s">
        <v>14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70</v>
      </c>
      <c r="M2" s="47" t="s">
        <v>71</v>
      </c>
      <c r="N2" s="47" t="s">
        <v>72</v>
      </c>
    </row>
    <row r="3" spans="1:27" ht="15.75" customHeight="1" thickTop="1" thickBot="1" x14ac:dyDescent="0.25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13" t="s">
        <v>41</v>
      </c>
      <c r="M3" s="256">
        <f>[14]Mode_PA_l_f0_r2!B3</f>
        <v>5.6672945964226902E-2</v>
      </c>
      <c r="N3" s="256">
        <f>[14]Mode_PA_l_f0_r2!B2</f>
        <v>0.95092595995270601</v>
      </c>
    </row>
    <row r="4" spans="1:27" ht="15.75" customHeight="1" thickBot="1" x14ac:dyDescent="0.25">
      <c r="A4" s="54" t="s">
        <v>29</v>
      </c>
      <c r="B4" s="54">
        <f>[15]Mode_PA_h_f0_b0!B2</f>
        <v>90.16</v>
      </c>
      <c r="C4" s="54">
        <f>[15]Mode_PA_h_f0_b0!C2</f>
        <v>86.123043762318801</v>
      </c>
      <c r="D4" s="54">
        <f>[15]Mode_PA_h_f0_b0!D2</f>
        <v>94.197953690226399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16" t="s">
        <v>42</v>
      </c>
      <c r="M4" s="257">
        <f>[16]Mode_PA_h_f0_r2!B3</f>
        <v>0.11904129817262001</v>
      </c>
      <c r="N4" s="257">
        <f>[16]Mode_PA_h_f0_r2!B2</f>
        <v>0.90843440204111703</v>
      </c>
    </row>
    <row r="5" spans="1:27" ht="15.75" customHeight="1" thickBot="1" x14ac:dyDescent="0.25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19" t="s">
        <v>4</v>
      </c>
      <c r="M5" s="257">
        <f>[18]Mode_PA_l_t_r2!B3</f>
        <v>7.2121393405386897E-2</v>
      </c>
      <c r="N5" s="257">
        <f>[18]Mode_PA_l_t_r2!B2</f>
        <v>0.77329835004832403</v>
      </c>
    </row>
    <row r="6" spans="1:27" ht="15.75" customHeight="1" thickBot="1" x14ac:dyDescent="0.25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5.2999999999999998E-4</v>
      </c>
      <c r="J6" s="58" t="str">
        <f>[19]Mode_PA_h_t_b0!J2</f>
        <v>p&lt;0.001</v>
      </c>
      <c r="K6" s="46"/>
      <c r="L6" s="220" t="s">
        <v>3</v>
      </c>
      <c r="M6" s="257">
        <f>[20]Mode_PA_h_t_r2!B3</f>
        <v>2.16840471179113E-2</v>
      </c>
      <c r="N6" s="257">
        <f>[20]Mode_PA_h_t_r2!B2</f>
        <v>0.85479648531734098</v>
      </c>
    </row>
    <row r="7" spans="1:27" ht="15.75" customHeight="1" thickTop="1" thickBot="1" x14ac:dyDescent="0.25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">
      <c r="A9" s="54" t="str">
        <f>A4</f>
        <v>h_f0</v>
      </c>
      <c r="B9" s="54">
        <f>[15]Mode_PA_h_f0_b0!B3</f>
        <v>90.578000000000003</v>
      </c>
      <c r="C9" s="55">
        <f>[15]Mode_PA_h_f0_b0!C3</f>
        <v>86.540423250920597</v>
      </c>
      <c r="D9" s="55">
        <f>[15]Mode_PA_h_f0_b0!D3</f>
        <v>94.615525934098201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25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5.2999999999999998E-4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25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">
      <c r="A14" s="54" t="str">
        <f>A4</f>
        <v>h_f0</v>
      </c>
      <c r="B14" s="54">
        <f>[15]Mode_PA_h_f0_b0!B4</f>
        <v>91.29</v>
      </c>
      <c r="C14" s="54">
        <f>[15]Mode_PA_h_f0_b0!C4</f>
        <v>87.250257609612504</v>
      </c>
      <c r="D14" s="54">
        <f>[15]Mode_PA_h_f0_b0!D4</f>
        <v>95.329182144316803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25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5.2999999999999998E-4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25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">
      <c r="A19" s="54" t="str">
        <f>A4</f>
        <v>h_f0</v>
      </c>
      <c r="B19" s="54">
        <f>[15]Mode_PA_h_f0_b0!B5</f>
        <v>92.46</v>
      </c>
      <c r="C19" s="54">
        <f>[15]Mode_PA_h_f0_b0!C5</f>
        <v>88.416665374418102</v>
      </c>
      <c r="D19" s="54">
        <f>[15]Mode_PA_h_f0_b0!D5</f>
        <v>96.504310766312699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8.7999999999999999E-13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5.2999999999999998E-4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6.25" x14ac:dyDescent="0.2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5" x14ac:dyDescent="0.2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5" x14ac:dyDescent="0.2">
      <c r="A25" s="11" t="s">
        <v>14</v>
      </c>
      <c r="B25" s="12">
        <f>[17]Mode_PA_l_t_b0!B2</f>
        <v>67.408000000000001</v>
      </c>
      <c r="C25" s="30">
        <f>[17]Mode_PA_l_t_b0!C2</f>
        <v>45.906075043170702</v>
      </c>
      <c r="D25" s="30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5" x14ac:dyDescent="0.2">
      <c r="A26" s="11" t="s">
        <v>15</v>
      </c>
      <c r="B26" s="12">
        <f>[17]Mode_PA_l_t_b0!B3</f>
        <v>67.731999999999999</v>
      </c>
      <c r="C26" s="30">
        <f>[17]Mode_PA_l_t_b0!C3</f>
        <v>46.229535903865603</v>
      </c>
      <c r="D26" s="30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5" x14ac:dyDescent="0.2">
      <c r="A27" s="11" t="s">
        <v>16</v>
      </c>
      <c r="B27" s="12">
        <f>[17]Mode_PA_l_t_b0!B4</f>
        <v>69.475999999999999</v>
      </c>
      <c r="C27" s="30">
        <f>[17]Mode_PA_l_t_b0!C4</f>
        <v>47.925440531509501</v>
      </c>
      <c r="D27" s="30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5" x14ac:dyDescent="0.2">
      <c r="A28" s="11" t="s">
        <v>17</v>
      </c>
      <c r="B28" s="16">
        <f>[17]Mode_PA_l_t_b0!B5</f>
        <v>47.040999999999997</v>
      </c>
      <c r="C28" s="30">
        <f>[17]Mode_PA_l_t_b0!C5</f>
        <v>25.381162659949101</v>
      </c>
      <c r="D28" s="30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5" x14ac:dyDescent="0.2">
      <c r="A29" s="11" t="s">
        <v>23</v>
      </c>
      <c r="B29" s="12">
        <f>[17]Mode_PA_l_t_b0!B6</f>
        <v>67.408000000000001</v>
      </c>
      <c r="C29" s="30">
        <f>[17]Mode_PA_l_t_b0!C6</f>
        <v>45.906075043170702</v>
      </c>
      <c r="D29" s="30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5" x14ac:dyDescent="0.2">
      <c r="A30" s="11" t="s">
        <v>24</v>
      </c>
      <c r="B30" s="12">
        <f>[17]Mode_PA_l_t_b0!B7</f>
        <v>81.248999999999995</v>
      </c>
      <c r="C30" s="30">
        <f>[17]Mode_PA_l_t_b0!C7</f>
        <v>51.745674146421401</v>
      </c>
      <c r="D30" s="30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5" x14ac:dyDescent="0.2">
      <c r="A31" s="11" t="s">
        <v>25</v>
      </c>
      <c r="B31" s="12">
        <f>[17]Mode_PA_l_t_b0!B8</f>
        <v>63.344000000000001</v>
      </c>
      <c r="C31" s="30">
        <f>[17]Mode_PA_l_t_b0!C8</f>
        <v>40.548764552006098</v>
      </c>
      <c r="D31" s="30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5" x14ac:dyDescent="0.2">
      <c r="A32" s="18" t="s">
        <v>26</v>
      </c>
      <c r="B32" s="16">
        <f>[17]Mode_PA_l_t_b0!B9</f>
        <v>65.388999999999996</v>
      </c>
      <c r="C32" s="34">
        <f>[17]Mode_PA_l_t_b0!C9</f>
        <v>43.096406186970398</v>
      </c>
      <c r="D32" s="34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5" x14ac:dyDescent="0.2">
      <c r="A33" s="20"/>
      <c r="B33" s="21"/>
      <c r="C33" s="36"/>
      <c r="D33" s="36"/>
      <c r="E33" s="36"/>
      <c r="F33" s="37"/>
      <c r="G33" s="37"/>
      <c r="H33" s="46"/>
    </row>
    <row r="34" spans="1:8" ht="26.25" x14ac:dyDescent="0.2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5" x14ac:dyDescent="0.2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5" x14ac:dyDescent="0.2">
      <c r="A36" s="11" t="str">
        <f t="shared" ref="A36:A43" si="3">A25</f>
        <v>MDC</v>
      </c>
      <c r="B36" s="12">
        <f>[19]Mode_PA_h_t_b0!B2</f>
        <v>268.214</v>
      </c>
      <c r="C36" s="14">
        <f>[19]Mode_PA_h_t_b0!C2</f>
        <v>187.77360112485999</v>
      </c>
      <c r="D36" s="14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5" x14ac:dyDescent="0.2">
      <c r="A37" s="11" t="str">
        <f t="shared" si="3"/>
        <v>MWH</v>
      </c>
      <c r="B37" s="12">
        <f>[19]Mode_PA_h_t_b0!B3</f>
        <v>267.76299999999998</v>
      </c>
      <c r="C37" s="14">
        <f>[19]Mode_PA_h_t_b0!C3</f>
        <v>187.32325202228199</v>
      </c>
      <c r="D37" s="14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5" x14ac:dyDescent="0.2">
      <c r="A38" s="11" t="str">
        <f t="shared" si="3"/>
        <v>MYN</v>
      </c>
      <c r="B38" s="12">
        <f>[19]Mode_PA_h_t_b0!B4</f>
        <v>268.13499999999999</v>
      </c>
      <c r="C38" s="14">
        <f>[19]Mode_PA_h_t_b0!C4</f>
        <v>187.71463745543801</v>
      </c>
      <c r="D38" s="14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5" x14ac:dyDescent="0.2">
      <c r="A39" s="11" t="str">
        <f t="shared" si="3"/>
        <v>MDQ</v>
      </c>
      <c r="B39" s="16">
        <f>[19]Mode_PA_h_t_b0!B5</f>
        <v>252.32</v>
      </c>
      <c r="C39" s="14">
        <f>[19]Mode_PA_h_t_b0!C5</f>
        <v>171.946315419135</v>
      </c>
      <c r="D39" s="14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5" x14ac:dyDescent="0.2">
      <c r="A40" s="11" t="str">
        <f t="shared" si="3"/>
        <v>L*H</v>
      </c>
      <c r="B40" s="12">
        <f>[19]Mode_PA_h_t_b0!B6</f>
        <v>268.214</v>
      </c>
      <c r="C40" s="14">
        <f>[19]Mode_PA_h_t_b0!C6</f>
        <v>187.77360112485999</v>
      </c>
      <c r="D40" s="14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5" x14ac:dyDescent="0.2">
      <c r="A41" s="11" t="str">
        <f t="shared" si="3"/>
        <v>^[L*]H</v>
      </c>
      <c r="B41" s="12">
        <f>[19]Mode_PA_h_t_b0!B7</f>
        <v>218.333</v>
      </c>
      <c r="C41" s="14">
        <f>[19]Mode_PA_h_t_b0!C7</f>
        <v>137.65678545155001</v>
      </c>
      <c r="D41" s="14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5" x14ac:dyDescent="0.2">
      <c r="A42" s="11" t="str">
        <f t="shared" si="3"/>
        <v>L*^[H]</v>
      </c>
      <c r="B42" s="12">
        <f>[19]Mode_PA_h_t_b0!B8</f>
        <v>267.35399999999998</v>
      </c>
      <c r="C42" s="14">
        <f>[19]Mode_PA_h_t_b0!C8</f>
        <v>187.31944529171901</v>
      </c>
      <c r="D42" s="14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5" x14ac:dyDescent="0.2">
      <c r="A43" s="11" t="str">
        <f t="shared" si="3"/>
        <v>^[L*H]</v>
      </c>
      <c r="B43" s="16">
        <f>[19]Mode_PA_h_t_b0!B9</f>
        <v>267.60899999999998</v>
      </c>
      <c r="C43" s="19">
        <f>[19]Mode_PA_h_t_b0!C9</f>
        <v>187.45073539710501</v>
      </c>
      <c r="D43" s="19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30.75" x14ac:dyDescent="0.2">
      <c r="A45" s="1" t="s">
        <v>12</v>
      </c>
      <c r="B45" s="5"/>
      <c r="C45" s="4"/>
      <c r="D45" s="5"/>
      <c r="E45" s="5"/>
      <c r="F45" s="5"/>
      <c r="G45" s="5"/>
    </row>
    <row r="46" spans="1:8" ht="15" x14ac:dyDescent="0.2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5" x14ac:dyDescent="0.2">
      <c r="A47" s="11" t="str">
        <f t="shared" ref="A47:A54" si="4">A36</f>
        <v>MDC</v>
      </c>
      <c r="B47" s="13">
        <f>[13]Mode_PA_l_f0_b0!B2</f>
        <v>83.99</v>
      </c>
      <c r="C47" s="14">
        <f>[13]Mode_PA_l_f0_b0!C2</f>
        <v>80.453351074980304</v>
      </c>
      <c r="D47" s="14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5" x14ac:dyDescent="0.2">
      <c r="A48" s="11" t="str">
        <f t="shared" si="4"/>
        <v>MWH</v>
      </c>
      <c r="B48" s="13">
        <f>[13]Mode_PA_l_f0_b0!B3</f>
        <v>84.075999999999993</v>
      </c>
      <c r="C48" s="14">
        <f>[13]Mode_PA_l_f0_b0!C3</f>
        <v>80.539039447165607</v>
      </c>
      <c r="D48" s="14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5" x14ac:dyDescent="0.2">
      <c r="A49" s="11" t="str">
        <f t="shared" si="4"/>
        <v>MYN</v>
      </c>
      <c r="B49" s="13">
        <f>[13]Mode_PA_l_f0_b0!B4</f>
        <v>85.177999999999997</v>
      </c>
      <c r="C49" s="14">
        <f>[13]Mode_PA_l_f0_b0!C4</f>
        <v>81.639854239581595</v>
      </c>
      <c r="D49" s="14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5" x14ac:dyDescent="0.2">
      <c r="A50" s="11" t="str">
        <f t="shared" si="4"/>
        <v>MDQ</v>
      </c>
      <c r="B50" s="17">
        <f>[13]Mode_PA_l_f0_b0!B5</f>
        <v>85.031999999999996</v>
      </c>
      <c r="C50" s="14">
        <f>[13]Mode_PA_l_f0_b0!C5</f>
        <v>81.489369407447299</v>
      </c>
      <c r="D50" s="14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5" x14ac:dyDescent="0.2">
      <c r="A51" s="11" t="str">
        <f t="shared" si="4"/>
        <v>L*H</v>
      </c>
      <c r="B51" s="13">
        <f>[13]Mode_PA_l_f0_b0!B6</f>
        <v>83.99</v>
      </c>
      <c r="C51" s="14">
        <f>[13]Mode_PA_l_f0_b0!C6</f>
        <v>80.453351074980304</v>
      </c>
      <c r="D51" s="14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5" x14ac:dyDescent="0.2">
      <c r="A52" s="11" t="str">
        <f t="shared" si="4"/>
        <v>^[L*]H</v>
      </c>
      <c r="B52" s="13">
        <f>[13]Mode_PA_l_f0_b0!B7</f>
        <v>86.87</v>
      </c>
      <c r="C52" s="14">
        <f>[13]Mode_PA_l_f0_b0!C7</f>
        <v>83.113022861423701</v>
      </c>
      <c r="D52" s="14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5" x14ac:dyDescent="0.2">
      <c r="A53" s="11" t="str">
        <f t="shared" si="4"/>
        <v>L*^[H]</v>
      </c>
      <c r="B53" s="13">
        <f>[13]Mode_PA_l_f0_b0!B8</f>
        <v>84.706999999999994</v>
      </c>
      <c r="C53" s="14">
        <f>[13]Mode_PA_l_f0_b0!C8</f>
        <v>81.133638575482294</v>
      </c>
      <c r="D53" s="14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5" x14ac:dyDescent="0.2">
      <c r="A54" s="11" t="str">
        <f t="shared" si="4"/>
        <v>^[L*H]</v>
      </c>
      <c r="B54" s="17">
        <f>[13]Mode_PA_l_f0_b0!B9</f>
        <v>86.724000000000004</v>
      </c>
      <c r="C54" s="19">
        <f>[13]Mode_PA_l_f0_b0!C9</f>
        <v>83.164863235291506</v>
      </c>
      <c r="D54" s="19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5" x14ac:dyDescent="0.2">
      <c r="A55" s="37"/>
      <c r="B55" s="31"/>
      <c r="C55" s="20"/>
      <c r="D55" s="22"/>
      <c r="E55" s="23"/>
      <c r="F55" s="23"/>
      <c r="G55" s="23"/>
    </row>
    <row r="56" spans="1:7" ht="30.75" x14ac:dyDescent="0.2">
      <c r="A56" s="1" t="s">
        <v>13</v>
      </c>
      <c r="B56" s="3"/>
      <c r="C56" s="4"/>
      <c r="D56" s="27"/>
      <c r="E56" s="25"/>
      <c r="F56" s="25"/>
      <c r="G56" s="25"/>
    </row>
    <row r="57" spans="1:7" ht="15" x14ac:dyDescent="0.2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5" x14ac:dyDescent="0.2">
      <c r="A58" s="11" t="str">
        <f t="shared" ref="A58:A65" si="5">A25</f>
        <v>MDC</v>
      </c>
      <c r="B58" s="13">
        <f>[15]Mode_PA_h_f0_b0!B2</f>
        <v>90.16</v>
      </c>
      <c r="C58" s="14">
        <f>[15]Mode_PA_h_f0_b0!C2</f>
        <v>86.123043762318801</v>
      </c>
      <c r="D58" s="14">
        <f>[15]Mode_PA_h_f0_b0!D2</f>
        <v>94.197953690226399</v>
      </c>
      <c r="E58" s="14">
        <f>[15]Mode_PA_h_f0_b0!E2</f>
        <v>1.8029999999999999</v>
      </c>
      <c r="F58" s="15">
        <f>Table3[[#This Row],[Estimates]]-Table3[[#This Row],[2.5% CI]]</f>
        <v>4.0369562376811956</v>
      </c>
      <c r="G58" s="31"/>
    </row>
    <row r="59" spans="1:7" ht="15" x14ac:dyDescent="0.2">
      <c r="A59" s="11" t="str">
        <f t="shared" si="5"/>
        <v>MWH</v>
      </c>
      <c r="B59" s="13">
        <f>[15]Mode_PA_h_f0_b0!B3</f>
        <v>90.578000000000003</v>
      </c>
      <c r="C59" s="14">
        <f>[15]Mode_PA_h_f0_b0!C3</f>
        <v>86.540423250920597</v>
      </c>
      <c r="D59" s="14">
        <f>[15]Mode_PA_h_f0_b0!D3</f>
        <v>94.615525934098201</v>
      </c>
      <c r="E59" s="14">
        <f>[15]Mode_PA_h_f0_b0!E3</f>
        <v>1.8029999999999999</v>
      </c>
      <c r="F59" s="14">
        <f>Table3[[#This Row],[Estimates]]-Table3[[#This Row],[2.5% CI]]</f>
        <v>4.0375767490794061</v>
      </c>
      <c r="G59" s="31"/>
    </row>
    <row r="60" spans="1:7" ht="15" x14ac:dyDescent="0.2">
      <c r="A60" s="11" t="str">
        <f t="shared" si="5"/>
        <v>MYN</v>
      </c>
      <c r="B60" s="13">
        <f>[15]Mode_PA_h_f0_b0!B4</f>
        <v>91.29</v>
      </c>
      <c r="C60" s="14">
        <f>[15]Mode_PA_h_f0_b0!C4</f>
        <v>87.250257609612504</v>
      </c>
      <c r="D60" s="14">
        <f>[15]Mode_PA_h_f0_b0!D4</f>
        <v>95.329182144316803</v>
      </c>
      <c r="E60" s="14">
        <f>[15]Mode_PA_h_f0_b0!E4</f>
        <v>1.8049999999999999</v>
      </c>
      <c r="F60" s="14">
        <f>Table3[[#This Row],[Estimates]]-Table3[[#This Row],[2.5% CI]]</f>
        <v>4.0397423903875023</v>
      </c>
      <c r="G60" s="31"/>
    </row>
    <row r="61" spans="1:7" ht="15" x14ac:dyDescent="0.2">
      <c r="A61" s="11" t="str">
        <f t="shared" si="5"/>
        <v>MDQ</v>
      </c>
      <c r="B61" s="17">
        <f>[15]Mode_PA_h_f0_b0!B5</f>
        <v>92.46</v>
      </c>
      <c r="C61" s="14">
        <f>[15]Mode_PA_h_f0_b0!C5</f>
        <v>88.416665374418102</v>
      </c>
      <c r="D61" s="14">
        <f>[15]Mode_PA_h_f0_b0!D5</f>
        <v>96.504310766312699</v>
      </c>
      <c r="E61" s="14">
        <f>[15]Mode_PA_h_f0_b0!E5</f>
        <v>1.81</v>
      </c>
      <c r="F61" s="14">
        <f>Table3[[#This Row],[Estimates]]-Table3[[#This Row],[2.5% CI]]</f>
        <v>4.0433346255818918</v>
      </c>
      <c r="G61" s="31"/>
    </row>
    <row r="62" spans="1:7" ht="15" x14ac:dyDescent="0.2">
      <c r="A62" s="11" t="str">
        <f t="shared" si="5"/>
        <v>L*H</v>
      </c>
      <c r="B62" s="13">
        <f>[15]Mode_PA_h_f0_b0!B6</f>
        <v>90.16</v>
      </c>
      <c r="C62" s="14">
        <f>[15]Mode_PA_h_f0_b0!C6</f>
        <v>86.123043762318801</v>
      </c>
      <c r="D62" s="14">
        <f>[15]Mode_PA_h_f0_b0!D6</f>
        <v>94.197953690226399</v>
      </c>
      <c r="E62" s="14">
        <f>[15]Mode_PA_h_f0_b0!E6</f>
        <v>1.8029999999999999</v>
      </c>
      <c r="F62" s="14">
        <f>Table3[[#This Row],[Estimates]]-Table3[[#This Row],[2.5% CI]]</f>
        <v>4.0369562376811956</v>
      </c>
      <c r="G62" s="31"/>
    </row>
    <row r="63" spans="1:7" ht="15" x14ac:dyDescent="0.2">
      <c r="A63" s="11" t="str">
        <f t="shared" si="5"/>
        <v>^[L*]H</v>
      </c>
      <c r="B63" s="13">
        <f>[15]Mode_PA_h_f0_b0!B7</f>
        <v>89.887</v>
      </c>
      <c r="C63" s="14">
        <f>[15]Mode_PA_h_f0_b0!C7</f>
        <v>85.459720294364303</v>
      </c>
      <c r="D63" s="14">
        <f>[15]Mode_PA_h_f0_b0!D7</f>
        <v>94.315126046853607</v>
      </c>
      <c r="E63" s="14">
        <f>[15]Mode_PA_h_f0_b0!E7</f>
        <v>2.1070000000000002</v>
      </c>
      <c r="F63" s="14">
        <f>Table3[[#This Row],[Estimates]]-Table3[[#This Row],[2.5% CI]]</f>
        <v>4.4272797056356978</v>
      </c>
      <c r="G63" s="31"/>
    </row>
    <row r="64" spans="1:7" ht="15" x14ac:dyDescent="0.2">
      <c r="A64" s="11" t="str">
        <f t="shared" si="5"/>
        <v>L*^[H]</v>
      </c>
      <c r="B64" s="13">
        <f>[15]Mode_PA_h_f0_b0!B8</f>
        <v>93.736999999999995</v>
      </c>
      <c r="C64" s="14">
        <f>[15]Mode_PA_h_f0_b0!C8</f>
        <v>89.644799114240996</v>
      </c>
      <c r="D64" s="14">
        <f>[15]Mode_PA_h_f0_b0!D8</f>
        <v>97.829742285346597</v>
      </c>
      <c r="E64" s="14">
        <f>[15]Mode_PA_h_f0_b0!E8</f>
        <v>1.8560000000000001</v>
      </c>
      <c r="F64" s="14">
        <f>Table3[[#This Row],[Estimates]]-Table3[[#This Row],[2.5% CI]]</f>
        <v>4.0922008857589987</v>
      </c>
      <c r="G64" s="31"/>
    </row>
    <row r="65" spans="1:27" ht="15" x14ac:dyDescent="0.2">
      <c r="A65" s="11" t="str">
        <f t="shared" si="5"/>
        <v>^[L*H]</v>
      </c>
      <c r="B65" s="17">
        <f>[15]Mode_PA_h_f0_b0!B9</f>
        <v>93.728999999999999</v>
      </c>
      <c r="C65" s="19">
        <f>[15]Mode_PA_h_f0_b0!C9</f>
        <v>89.656987791724603</v>
      </c>
      <c r="D65" s="19">
        <f>[15]Mode_PA_h_f0_b0!D9</f>
        <v>97.800438498133602</v>
      </c>
      <c r="E65" s="19">
        <f>[15]Mode_PA_h_f0_b0!E9</f>
        <v>1.8360000000000001</v>
      </c>
      <c r="F65" s="19">
        <f>Table3[[#This Row],[Estimates]]-Table3[[#This Row],[2.5% CI]]</f>
        <v>4.072012208275396</v>
      </c>
      <c r="G65" s="31"/>
    </row>
    <row r="66" spans="1:27" x14ac:dyDescent="0.2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44" priority="46" stopIfTrue="1" operator="lessThan">
      <formula>0.0001</formula>
    </cfRule>
    <cfRule type="cellIs" dxfId="143" priority="47" stopIfTrue="1" operator="lessThan">
      <formula>0.001</formula>
    </cfRule>
    <cfRule type="cellIs" dxfId="142" priority="48" stopIfTrue="1" operator="lessThan">
      <formula>0.05</formula>
    </cfRule>
    <cfRule type="cellIs" dxfId="141" priority="49" stopIfTrue="1" operator="lessThan">
      <formula>0.1</formula>
    </cfRule>
  </conditionalFormatting>
  <conditionalFormatting sqref="J8:J11 J13:J16 J18:J21 J3:J6">
    <cfRule type="containsText" dxfId="140" priority="37" stopIfTrue="1" operator="containsText" text="p&lt;0.0001">
      <formula>NOT(ISERROR(SEARCH("p&lt;0.0001",J3)))</formula>
    </cfRule>
    <cfRule type="containsText" dxfId="139" priority="42" stopIfTrue="1" operator="containsText" text="p&lt;0.001">
      <formula>NOT(ISERROR(SEARCH("p&lt;0.001",J3)))</formula>
    </cfRule>
    <cfRule type="containsText" dxfId="138" priority="43" stopIfTrue="1" operator="containsText" text="p&lt;0.01">
      <formula>NOT(ISERROR(SEARCH("p&lt;0.01",J3)))</formula>
    </cfRule>
    <cfRule type="containsText" dxfId="137" priority="44" stopIfTrue="1" operator="containsText" text="p&lt;0.05">
      <formula>NOT(ISERROR(SEARCH("p&lt;0.05",J3)))</formula>
    </cfRule>
    <cfRule type="containsText" dxfId="136" priority="45" stopIfTrue="1" operator="containsText" text="p&lt;0.1">
      <formula>NOT(ISERROR(SEARCH("p&lt;0.1",J3)))</formula>
    </cfRule>
  </conditionalFormatting>
  <conditionalFormatting sqref="I11">
    <cfRule type="cellIs" dxfId="135" priority="38" stopIfTrue="1" operator="lessThan">
      <formula>0.0001</formula>
    </cfRule>
    <cfRule type="cellIs" dxfId="134" priority="39" stopIfTrue="1" operator="lessThan">
      <formula>0.001</formula>
    </cfRule>
    <cfRule type="cellIs" dxfId="133" priority="40" stopIfTrue="1" operator="lessThan">
      <formula>0.05</formula>
    </cfRule>
    <cfRule type="cellIs" dxfId="132" priority="41" stopIfTrue="1" operator="lessThan">
      <formula>0.1</formula>
    </cfRule>
  </conditionalFormatting>
  <conditionalFormatting sqref="F25:F32 F36:F43 F47:F54 F58:F65 F33:G33 A55">
    <cfRule type="cellIs" dxfId="131" priority="5" operator="lessThan">
      <formula>0.05</formula>
    </cfRule>
  </conditionalFormatting>
  <conditionalFormatting sqref="H11">
    <cfRule type="cellIs" dxfId="130" priority="1" stopIfTrue="1" operator="lessThan">
      <formula>0.0001</formula>
    </cfRule>
    <cfRule type="cellIs" dxfId="129" priority="2" stopIfTrue="1" operator="lessThan">
      <formula>0.001</formula>
    </cfRule>
    <cfRule type="cellIs" dxfId="128" priority="3" stopIfTrue="1" operator="lessThan">
      <formula>0.05</formula>
    </cfRule>
    <cfRule type="cellIs" dxfId="12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111" zoomScaleNormal="111" zoomScaleSheetLayoutView="55" workbookViewId="0">
      <selection activeCell="K2" sqref="K2:K31"/>
    </sheetView>
  </sheetViews>
  <sheetFormatPr defaultColWidth="13.85546875" defaultRowHeight="12.75" x14ac:dyDescent="0.2"/>
  <cols>
    <col min="1" max="1" width="17.140625" style="82" customWidth="1"/>
    <col min="2" max="6" width="11.85546875" style="83" customWidth="1"/>
    <col min="7" max="7" width="11.85546875" style="86" customWidth="1"/>
    <col min="8" max="10" width="11.85546875" style="84" customWidth="1"/>
    <col min="11" max="12" width="11.42578125" style="79" customWidth="1"/>
    <col min="13" max="14" width="8.7109375" style="79" customWidth="1"/>
    <col min="15" max="15" width="11.42578125" style="80" customWidth="1"/>
    <col min="16" max="16" width="9.7109375" style="80" customWidth="1"/>
    <col min="17" max="17" width="11.42578125" style="80" customWidth="1"/>
    <col min="18" max="19" width="7.7109375" style="79" customWidth="1"/>
    <col min="20" max="21" width="11.42578125" style="79" customWidth="1"/>
    <col min="22" max="23" width="8.7109375" style="79" customWidth="1"/>
    <col min="24" max="24" width="11.42578125" style="80" customWidth="1"/>
    <col min="25" max="25" width="9.7109375" style="80" customWidth="1"/>
    <col min="26" max="26" width="11.42578125" style="80" customWidth="1"/>
    <col min="27" max="28" width="7.7109375" style="79" customWidth="1"/>
    <col min="29" max="30" width="11.42578125" style="79" customWidth="1"/>
    <col min="31" max="32" width="8.7109375" style="79" customWidth="1"/>
    <col min="33" max="33" width="11.42578125" style="80" customWidth="1"/>
    <col min="34" max="34" width="9.7109375" style="80" customWidth="1"/>
    <col min="35" max="35" width="11.42578125" style="80" customWidth="1"/>
    <col min="36" max="37" width="7.7109375" style="79" customWidth="1"/>
    <col min="38" max="39" width="11.42578125" style="79" customWidth="1"/>
    <col min="40" max="41" width="8.7109375" style="79" customWidth="1"/>
    <col min="42" max="42" width="11.42578125" style="80" customWidth="1"/>
    <col min="43" max="43" width="9.7109375" style="80" customWidth="1"/>
    <col min="44" max="44" width="11.42578125" style="80" customWidth="1"/>
    <col min="45" max="46" width="7.7109375" style="79" customWidth="1"/>
    <col min="47" max="48" width="11.42578125" style="79" customWidth="1"/>
    <col min="49" max="50" width="8.7109375" style="79" customWidth="1"/>
    <col min="51" max="51" width="11.42578125" style="80" customWidth="1"/>
    <col min="52" max="52" width="9.7109375" style="80" customWidth="1"/>
    <col min="53" max="53" width="11.42578125" style="80" customWidth="1"/>
    <col min="54" max="55" width="11.42578125" style="79" customWidth="1"/>
    <col min="56" max="16384" width="13.85546875" style="79"/>
  </cols>
  <sheetData>
    <row r="1" spans="1:53" s="264" customFormat="1" ht="24" customHeight="1" thickBot="1" x14ac:dyDescent="0.35">
      <c r="A1" s="276" t="s">
        <v>77</v>
      </c>
      <c r="B1" s="276"/>
      <c r="C1" s="276"/>
      <c r="D1" s="276"/>
      <c r="E1" s="276"/>
      <c r="F1" s="276"/>
      <c r="G1" s="276"/>
      <c r="H1" s="276"/>
      <c r="I1" s="276"/>
      <c r="J1" s="276"/>
      <c r="O1" s="265"/>
      <c r="P1" s="265"/>
      <c r="Q1" s="265"/>
      <c r="X1" s="265"/>
      <c r="Y1" s="265"/>
      <c r="Z1" s="265"/>
      <c r="AG1" s="265"/>
      <c r="AH1" s="265"/>
      <c r="AI1" s="265"/>
      <c r="AP1" s="265"/>
      <c r="AQ1" s="265"/>
      <c r="AR1" s="265"/>
      <c r="AY1" s="265"/>
      <c r="AZ1" s="265"/>
      <c r="BA1" s="265"/>
    </row>
    <row r="2" spans="1:53" s="67" customFormat="1" ht="15.75" customHeight="1" thickTop="1" thickBot="1" x14ac:dyDescent="0.25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3" t="s">
        <v>64</v>
      </c>
    </row>
    <row r="3" spans="1:53" s="72" customFormat="1" ht="15.75" customHeight="1" thickTop="1" x14ac:dyDescent="0.2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70">
        <f>[21]Mode_PA_l_f0_b1!J2</f>
        <v>0.61599999999999999</v>
      </c>
      <c r="J3" s="71">
        <f>[21]Mode_PA_l_f0_b1!K2</f>
        <v>0</v>
      </c>
      <c r="K3" s="184">
        <f>B3-C3</f>
        <v>0.262876526010897</v>
      </c>
    </row>
    <row r="4" spans="1:53" s="72" customFormat="1" ht="15.75" customHeight="1" x14ac:dyDescent="0.2">
      <c r="A4" s="73" t="s">
        <v>42</v>
      </c>
      <c r="B4" s="73">
        <f>[22]Mode_PA_h_f0_b1!C2</f>
        <v>0.41699999999999998</v>
      </c>
      <c r="C4" s="73">
        <f>[22]Mode_PA_h_f0_b1!D2</f>
        <v>3.2769822598991402E-2</v>
      </c>
      <c r="D4" s="73">
        <f>[22]Mode_PA_h_f0_b1!E2</f>
        <v>0.80218190937686995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75">
        <f>[22]Mode_PA_h_f0_b1!J2</f>
        <v>5.1999999999999998E-2</v>
      </c>
      <c r="J4" s="76">
        <f>[22]Mode_PA_h_f0_b1!K2</f>
        <v>0</v>
      </c>
      <c r="K4" s="184">
        <f t="shared" ref="K4:K6" si="0">B4-C4</f>
        <v>0.38423017740100857</v>
      </c>
    </row>
    <row r="5" spans="1:53" s="78" customFormat="1" ht="15.75" customHeight="1" x14ac:dyDescent="0.2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0.93799999999999994</v>
      </c>
      <c r="J5" s="76">
        <f>[23]Mode_PA_l_t_b1!K2</f>
        <v>0</v>
      </c>
      <c r="K5" s="184">
        <f t="shared" si="0"/>
        <v>3.86993957054124</v>
      </c>
    </row>
    <row r="6" spans="1:53" s="78" customFormat="1" ht="15.75" customHeight="1" thickBot="1" x14ac:dyDescent="0.25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0.93799999999999994</v>
      </c>
      <c r="J6" s="76">
        <f>[24]Mode_PA_h_t_b1!K2</f>
        <v>0</v>
      </c>
      <c r="K6" s="184">
        <f t="shared" si="0"/>
        <v>5.7410653229988702</v>
      </c>
    </row>
    <row r="7" spans="1:53" ht="15.75" customHeight="1" thickTop="1" thickBot="1" x14ac:dyDescent="0.25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83" t="s">
        <v>64</v>
      </c>
    </row>
    <row r="8" spans="1:53" ht="15.75" customHeight="1" thickTop="1" x14ac:dyDescent="0.2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3.2000000000000002E-14</v>
      </c>
      <c r="J8" s="71" t="str">
        <f>[21]Mode_PA_l_f0_b1!K3</f>
        <v>p&lt;0.0001</v>
      </c>
      <c r="K8" s="184">
        <f>B8-C8</f>
        <v>0.29010619738444599</v>
      </c>
    </row>
    <row r="9" spans="1:53" ht="15.75" customHeight="1" x14ac:dyDescent="0.2">
      <c r="A9" s="73" t="s">
        <v>42</v>
      </c>
      <c r="B9" s="73">
        <f>[22]Mode_PA_h_f0_b1!C3</f>
        <v>1.129</v>
      </c>
      <c r="C9" s="73">
        <f>[22]Mode_PA_h_f0_b1!D3</f>
        <v>0.70325590722223796</v>
      </c>
      <c r="D9" s="73">
        <f>[22]Mode_PA_h_f0_b1!E3</f>
        <v>1.5551863947656099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4">
        <f t="shared" ref="K9:K11" si="2">B9-C9</f>
        <v>0.42574409277776204</v>
      </c>
    </row>
    <row r="10" spans="1:53" ht="15.75" customHeight="1" x14ac:dyDescent="0.2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0.44500000000000001</v>
      </c>
      <c r="J10" s="76">
        <f>[23]Mode_PA_l_t_b1!K3</f>
        <v>0</v>
      </c>
      <c r="K10" s="184">
        <f t="shared" si="2"/>
        <v>4.2930529520495497</v>
      </c>
    </row>
    <row r="11" spans="1:53" ht="15.75" customHeight="1" thickBot="1" x14ac:dyDescent="0.25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4">
        <f t="shared" si="2"/>
        <v>6.3565930497881107</v>
      </c>
    </row>
    <row r="12" spans="1:53" ht="15.75" customHeight="1" thickTop="1" thickBot="1" x14ac:dyDescent="0.25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83" t="s">
        <v>64</v>
      </c>
    </row>
    <row r="13" spans="1:53" ht="15.75" customHeight="1" thickTop="1" x14ac:dyDescent="0.2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1.9E-6</v>
      </c>
      <c r="J13" s="71" t="str">
        <f>[21]Mode_PA_l_f0_b1!K4</f>
        <v>p&lt;0.0001</v>
      </c>
      <c r="K13" s="184">
        <f>B13-C13</f>
        <v>0.40456281573773001</v>
      </c>
    </row>
    <row r="14" spans="1:53" ht="15.75" customHeight="1" x14ac:dyDescent="0.2">
      <c r="A14" s="73" t="s">
        <v>42</v>
      </c>
      <c r="B14" s="73">
        <f>[22]Mode_PA_h_f0_b1!C4</f>
        <v>2.2999999999999998</v>
      </c>
      <c r="C14" s="73">
        <f>[22]Mode_PA_h_f0_b1!D4</f>
        <v>1.7262072036284699</v>
      </c>
      <c r="D14" s="73">
        <f>[22]Mode_PA_h_f0_b1!E4</f>
        <v>2.87377148473445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1E-13</v>
      </c>
      <c r="J14" s="76" t="str">
        <f>[22]Mode_PA_h_f0_b1!K4</f>
        <v>p&lt;0.0001</v>
      </c>
      <c r="K14" s="184">
        <f t="shared" ref="K14:K16" si="4">B14-C14</f>
        <v>0.57379279637152991</v>
      </c>
    </row>
    <row r="15" spans="1:53" ht="15.75" customHeight="1" x14ac:dyDescent="0.2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3.7000000000000001E-11</v>
      </c>
      <c r="J15" s="76" t="str">
        <f>[23]Mode_PA_l_t_b1!K4</f>
        <v>p&lt;0.0001</v>
      </c>
      <c r="K15" s="184">
        <f t="shared" si="4"/>
        <v>5.7217019747110989</v>
      </c>
    </row>
    <row r="16" spans="1:53" ht="15.75" customHeight="1" thickBot="1" x14ac:dyDescent="0.25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8.0000000000000004E-4</v>
      </c>
      <c r="J16" s="76" t="str">
        <f>[24]Mode_PA_h_t_b1!K4</f>
        <v>p&lt;0.001</v>
      </c>
      <c r="K16" s="184">
        <f t="shared" si="4"/>
        <v>8.5694504601336003</v>
      </c>
    </row>
    <row r="17" spans="1:53" ht="15.75" customHeight="1" thickTop="1" thickBot="1" x14ac:dyDescent="0.25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83" t="s">
        <v>64</v>
      </c>
    </row>
    <row r="18" spans="1:53" ht="15.75" customHeight="1" thickTop="1" x14ac:dyDescent="0.2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4">
        <f>B18-C18</f>
        <v>0.29123852545279705</v>
      </c>
    </row>
    <row r="19" spans="1:53" ht="15.75" customHeight="1" x14ac:dyDescent="0.2">
      <c r="A19" s="73" t="s">
        <v>42</v>
      </c>
      <c r="B19" s="73">
        <f>[22]Mode_PA_h_f0_b1!C5</f>
        <v>0.71199999999999997</v>
      </c>
      <c r="C19" s="73">
        <f>[22]Mode_PA_h_f0_b1!D5</f>
        <v>0.28494370098336003</v>
      </c>
      <c r="D19" s="73">
        <f>[22]Mode_PA_h_f0_b1!E5</f>
        <v>1.1385468689305001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4">
        <f t="shared" ref="K19:K21" si="6">B19-C19</f>
        <v>0.42705629901663994</v>
      </c>
    </row>
    <row r="20" spans="1:53" ht="15.75" customHeight="1" x14ac:dyDescent="0.2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0.53</v>
      </c>
      <c r="J20" s="76">
        <f>[23]Mode_PA_l_t_b1!K5</f>
        <v>0</v>
      </c>
      <c r="K20" s="184">
        <f t="shared" si="6"/>
        <v>4.2981235585089603</v>
      </c>
    </row>
    <row r="21" spans="1:53" ht="15.75" customHeight="1" thickBot="1" x14ac:dyDescent="0.25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0.93799999999999994</v>
      </c>
      <c r="J21" s="76">
        <f>[24]Mode_PA_h_t_b1!K5</f>
        <v>0</v>
      </c>
      <c r="K21" s="184">
        <f t="shared" si="6"/>
        <v>6.3684045589773799</v>
      </c>
    </row>
    <row r="22" spans="1:53" ht="15.75" customHeight="1" thickTop="1" thickBot="1" x14ac:dyDescent="0.25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83" t="s">
        <v>64</v>
      </c>
    </row>
    <row r="23" spans="1:53" ht="15.75" customHeight="1" thickTop="1" x14ac:dyDescent="0.2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1.5E-5</v>
      </c>
      <c r="J23" s="71" t="str">
        <f>[21]Mode_PA_l_f0_b1!K6</f>
        <v>p&lt;0.0001</v>
      </c>
      <c r="K23" s="184">
        <f>B23-C23</f>
        <v>0.40602513859471201</v>
      </c>
    </row>
    <row r="24" spans="1:53" ht="15.75" customHeight="1" x14ac:dyDescent="0.2">
      <c r="A24" s="73" t="s">
        <v>42</v>
      </c>
      <c r="B24" s="73">
        <f>[22]Mode_PA_h_f0_b1!C6</f>
        <v>1.883</v>
      </c>
      <c r="C24" s="73">
        <f>[22]Mode_PA_h_f0_b1!D6</f>
        <v>1.3076358441581</v>
      </c>
      <c r="D24" s="73">
        <f>[22]Mode_PA_h_f0_b1!E6</f>
        <v>2.4573911118231799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1.0999999999999999E-9</v>
      </c>
      <c r="J24" s="76" t="str">
        <f>[22]Mode_PA_h_f0_b1!K6</f>
        <v>p&lt;0.0001</v>
      </c>
      <c r="K24" s="184">
        <f t="shared" ref="K24:K26" si="8">B24-C24</f>
        <v>0.57536415584190004</v>
      </c>
    </row>
    <row r="25" spans="1:53" ht="15.75" customHeight="1" x14ac:dyDescent="0.2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4">
        <f t="shared" si="8"/>
        <v>5.7288365288011995</v>
      </c>
    </row>
    <row r="26" spans="1:53" ht="15.75" customHeight="1" thickBot="1" x14ac:dyDescent="0.25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4">
        <f t="shared" si="8"/>
        <v>8.5839251197084021</v>
      </c>
    </row>
    <row r="27" spans="1:53" ht="15.75" customHeight="1" thickTop="1" thickBot="1" x14ac:dyDescent="0.25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83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0.58799999999999997</v>
      </c>
      <c r="J28" s="71">
        <f>[21]Mode_PA_l_f0_b1!K7</f>
        <v>0</v>
      </c>
      <c r="K28" s="184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">
      <c r="A29" s="73" t="s">
        <v>42</v>
      </c>
      <c r="B29" s="73">
        <f>[22]Mode_PA_h_f0_b1!C7</f>
        <v>1.171</v>
      </c>
      <c r="C29" s="73">
        <f>[22]Mode_PA_h_f0_b1!D7</f>
        <v>0.57785820696894397</v>
      </c>
      <c r="D29" s="73">
        <f>[22]Mode_PA_h_f0_b1!E7</f>
        <v>1.7636781799102601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3.8000000000000002E-4</v>
      </c>
      <c r="J29" s="76" t="str">
        <f>[22]Mode_PA_h_f0_b1!K7</f>
        <v>p&lt;0.001</v>
      </c>
      <c r="K29" s="184">
        <f t="shared" ref="K29:K31" si="10">B29-C29</f>
        <v>0.59314179303105607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4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4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3:I6 H28:I31 H23:I26 H18:I21 H13:I16 H8:I11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A21" sqref="A21"/>
    </sheetView>
  </sheetViews>
  <sheetFormatPr defaultColWidth="13.85546875" defaultRowHeight="12.75" x14ac:dyDescent="0.2"/>
  <cols>
    <col min="1" max="1" width="17.140625" style="231" customWidth="1"/>
    <col min="2" max="8" width="11.85546875" style="42" customWidth="1"/>
    <col min="9" max="10" width="11.85546875" style="43" customWidth="1"/>
    <col min="11" max="12" width="11.85546875" style="42" customWidth="1"/>
    <col min="13" max="14" width="11.85546875" style="44" customWidth="1"/>
    <col min="15" max="16" width="8.7109375" style="44" customWidth="1"/>
    <col min="17" max="17" width="11.42578125" style="44" customWidth="1"/>
    <col min="18" max="18" width="11.140625" style="45" customWidth="1"/>
    <col min="19" max="19" width="11.42578125" style="45" customWidth="1"/>
    <col min="20" max="21" width="7.7109375" style="44" customWidth="1"/>
    <col min="22" max="23" width="11.42578125" style="44" customWidth="1"/>
    <col min="24" max="25" width="8.7109375" style="44" customWidth="1"/>
    <col min="26" max="26" width="11.42578125" style="44" customWidth="1"/>
    <col min="27" max="27" width="11.140625" style="45" customWidth="1"/>
    <col min="28" max="28" width="11.42578125" style="45" customWidth="1"/>
    <col min="29" max="30" width="7.7109375" style="44" customWidth="1"/>
    <col min="31" max="32" width="11.42578125" style="44" customWidth="1"/>
    <col min="33" max="33" width="8.7109375" style="44" customWidth="1"/>
    <col min="34" max="35" width="11.42578125" style="44" customWidth="1"/>
    <col min="36" max="36" width="11.140625" style="45" customWidth="1"/>
    <col min="37" max="37" width="11.42578125" style="45" customWidth="1"/>
    <col min="38" max="39" width="11.42578125" style="44" customWidth="1"/>
    <col min="40" max="16384" width="13.85546875" style="46"/>
  </cols>
  <sheetData>
    <row r="1" spans="1:39" s="261" customFormat="1" ht="24" customHeight="1" thickBot="1" x14ac:dyDescent="0.35">
      <c r="A1" s="276" t="s">
        <v>75</v>
      </c>
      <c r="B1" s="276"/>
      <c r="C1" s="276"/>
      <c r="D1" s="276"/>
      <c r="E1" s="276"/>
      <c r="F1" s="276"/>
      <c r="G1" s="276"/>
      <c r="H1" s="276"/>
      <c r="I1" s="276"/>
      <c r="J1" s="276"/>
      <c r="K1" s="260"/>
      <c r="L1" s="277" t="s">
        <v>80</v>
      </c>
      <c r="M1" s="277"/>
      <c r="N1" s="277"/>
      <c r="R1" s="262"/>
      <c r="S1" s="262"/>
      <c r="AA1" s="262"/>
      <c r="AB1" s="262"/>
      <c r="AJ1" s="262"/>
      <c r="AK1" s="262"/>
    </row>
    <row r="2" spans="1:39" s="212" customFormat="1" ht="15.75" customHeight="1" thickTop="1" thickBot="1" x14ac:dyDescent="0.25">
      <c r="A2" s="47" t="s">
        <v>23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70</v>
      </c>
      <c r="M2" s="47" t="s">
        <v>71</v>
      </c>
      <c r="N2" s="47" t="s">
        <v>72</v>
      </c>
    </row>
    <row r="3" spans="1:39" s="215" customFormat="1" ht="15.75" customHeight="1" thickTop="1" thickBot="1" x14ac:dyDescent="0.25">
      <c r="A3" s="213" t="s">
        <v>41</v>
      </c>
      <c r="B3" s="213">
        <f>[13]Mode_PA_l_f0_b0!B6</f>
        <v>83.99</v>
      </c>
      <c r="C3" s="214">
        <f>[13]Mode_PA_l_f0_b0!C6</f>
        <v>80.453351074980304</v>
      </c>
      <c r="D3" s="214">
        <f>[13]Mode_PA_l_f0_b0!D6</f>
        <v>87.527230630068203</v>
      </c>
      <c r="E3" s="214">
        <f>[13]Mode_PA_l_f0_b0!E6</f>
        <v>1.623</v>
      </c>
      <c r="F3" s="214">
        <f>[13]Mode_PA_l_f0_b0!F6</f>
        <v>51.753</v>
      </c>
      <c r="G3" s="214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13" t="s">
        <v>41</v>
      </c>
      <c r="M3" s="253">
        <v>0.59399956709452595</v>
      </c>
      <c r="N3" s="253">
        <v>0.94023014769888502</v>
      </c>
    </row>
    <row r="4" spans="1:39" s="215" customFormat="1" ht="15.75" customHeight="1" thickBot="1" x14ac:dyDescent="0.25">
      <c r="A4" s="216" t="s">
        <v>42</v>
      </c>
      <c r="B4" s="216">
        <f>[15]Mode_PA_h_f0_b0!B6</f>
        <v>90.16</v>
      </c>
      <c r="C4" s="217">
        <f>[15]Mode_PA_h_f0_b0!C6</f>
        <v>86.123043762318801</v>
      </c>
      <c r="D4" s="217">
        <f>[15]Mode_PA_h_f0_b0!D6</f>
        <v>94.197953690226399</v>
      </c>
      <c r="E4" s="217">
        <f>[15]Mode_PA_h_f0_b0!E6</f>
        <v>1.8029999999999999</v>
      </c>
      <c r="F4" s="217">
        <f>[15]Mode_PA_h_f0_b0!F6</f>
        <v>50.005000000000003</v>
      </c>
      <c r="G4" s="217">
        <f>[15]Mode_PA_h_f0_b0!G6</f>
        <v>9.65</v>
      </c>
      <c r="H4" s="218">
        <f>[15]Mode_PA_h_f0_b0!H6</f>
        <v>5.6000000000000004E-13</v>
      </c>
      <c r="I4" s="218">
        <f>[15]Mode_PA_h_f0_b0!I6</f>
        <v>1.2999999999999999E-12</v>
      </c>
      <c r="J4" s="228" t="str">
        <f>[15]Mode_PA_h_f0_b0!J6</f>
        <v>p&lt;0.0001</v>
      </c>
      <c r="L4" s="216" t="s">
        <v>42</v>
      </c>
      <c r="M4" s="254">
        <v>0.54939616986129103</v>
      </c>
      <c r="N4" s="254">
        <v>0.90539546314142305</v>
      </c>
    </row>
    <row r="5" spans="1:39" ht="15.75" customHeight="1" thickBot="1" x14ac:dyDescent="0.25">
      <c r="A5" s="219" t="s">
        <v>4</v>
      </c>
      <c r="B5" s="219">
        <f>[17]Mode_PA_l_t_b0!B6</f>
        <v>67.408000000000001</v>
      </c>
      <c r="C5" s="219">
        <f>[17]Mode_PA_l_t_b0!C6</f>
        <v>45.906075043170702</v>
      </c>
      <c r="D5" s="219">
        <f>[17]Mode_PA_l_t_b0!D6</f>
        <v>88.909427524989596</v>
      </c>
      <c r="E5" s="213">
        <f>[17]Mode_PA_l_t_b0!E6</f>
        <v>9.8879999999999999</v>
      </c>
      <c r="F5" s="214">
        <f>[17]Mode_PA_l_t_b0!F6</f>
        <v>6.8170000000000002</v>
      </c>
      <c r="G5" s="214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29" t="str">
        <f>[17]Mode_PA_l_t_b0!J6</f>
        <v>p&lt;0.0001</v>
      </c>
      <c r="K5" s="46"/>
      <c r="L5" s="219" t="s">
        <v>4</v>
      </c>
      <c r="M5" s="253">
        <v>0.60768973596170595</v>
      </c>
      <c r="N5" s="253">
        <v>0.76784989368498202</v>
      </c>
    </row>
    <row r="6" spans="1:39" ht="15.75" customHeight="1" thickBot="1" x14ac:dyDescent="0.25">
      <c r="A6" s="220" t="s">
        <v>3</v>
      </c>
      <c r="B6" s="220">
        <f>[19]Mode_PA_h_t_b0!B6</f>
        <v>268.214</v>
      </c>
      <c r="C6" s="220">
        <f>[19]Mode_PA_h_t_b0!C6</f>
        <v>187.77360112485999</v>
      </c>
      <c r="D6" s="220">
        <f>[19]Mode_PA_h_t_b0!D6</f>
        <v>348.655341966148</v>
      </c>
      <c r="E6" s="221">
        <f>[19]Mode_PA_h_t_b0!E6</f>
        <v>30.707999999999998</v>
      </c>
      <c r="F6" s="222">
        <f>[19]Mode_PA_h_t_b0!F6</f>
        <v>8.734</v>
      </c>
      <c r="G6" s="222">
        <f>[19]Mode_PA_h_t_b0!G6</f>
        <v>4.71</v>
      </c>
      <c r="H6" s="223">
        <f>[19]Mode_PA_h_t_b0!H6</f>
        <v>4.4000000000000002E-4</v>
      </c>
      <c r="I6" s="223">
        <f>[19]Mode_PA_h_t_b0!I6</f>
        <v>5.2999999999999998E-4</v>
      </c>
      <c r="J6" s="230" t="str">
        <f>[19]Mode_PA_h_t_b0!J6</f>
        <v>p&lt;0.001</v>
      </c>
      <c r="K6" s="46">
        <f>D6-C6</f>
        <v>160.88174084128801</v>
      </c>
      <c r="L6" s="220" t="s">
        <v>3</v>
      </c>
      <c r="M6" s="255">
        <v>0.30551322079765297</v>
      </c>
      <c r="N6" s="255">
        <v>0.84349336767445005</v>
      </c>
    </row>
    <row r="7" spans="1:39" ht="15.75" customHeight="1" thickTop="1" thickBot="1" x14ac:dyDescent="0.25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224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25">
      <c r="A8" s="213" t="s">
        <v>41</v>
      </c>
      <c r="B8" s="213">
        <f>[13]Mode_PA_l_f0_b0!B7</f>
        <v>86.87</v>
      </c>
      <c r="C8" s="213">
        <f>[13]Mode_PA_l_f0_b0!C7</f>
        <v>83.113022861423701</v>
      </c>
      <c r="D8" s="213">
        <f>[13]Mode_PA_l_f0_b0!D7</f>
        <v>90.627605751172297</v>
      </c>
      <c r="E8" s="214">
        <f>[13]Mode_PA_l_f0_b0!E7</f>
        <v>1.7849999999999999</v>
      </c>
      <c r="F8" s="214">
        <f>[13]Mode_PA_l_f0_b0!F7</f>
        <v>48.677999999999997</v>
      </c>
      <c r="G8" s="214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25">
      <c r="A9" s="216" t="s">
        <v>42</v>
      </c>
      <c r="B9" s="216">
        <f>[15]Mode_PA_h_f0_b0!B7</f>
        <v>89.887</v>
      </c>
      <c r="C9" s="216">
        <f>[15]Mode_PA_h_f0_b0!C7</f>
        <v>85.459720294364303</v>
      </c>
      <c r="D9" s="216">
        <f>[15]Mode_PA_h_f0_b0!D7</f>
        <v>94.315126046853607</v>
      </c>
      <c r="E9" s="217">
        <f>[15]Mode_PA_h_f0_b0!E7</f>
        <v>2.1070000000000002</v>
      </c>
      <c r="F9" s="217">
        <f>[15]Mode_PA_h_f0_b0!F7</f>
        <v>42.664000000000001</v>
      </c>
      <c r="G9" s="217">
        <f>[15]Mode_PA_h_f0_b0!G7</f>
        <v>17.920000000000002</v>
      </c>
      <c r="H9" s="218">
        <f>[15]Mode_PA_h_f0_b0!H7</f>
        <v>1.8000000000000001E-19</v>
      </c>
      <c r="I9" s="218">
        <f>[15]Mode_PA_h_f0_b0!I7</f>
        <v>5.8E-18</v>
      </c>
      <c r="J9" s="228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25">
      <c r="A10" s="219" t="s">
        <v>4</v>
      </c>
      <c r="B10" s="219">
        <f>[17]Mode_PA_l_t_b0!B7</f>
        <v>81.248999999999995</v>
      </c>
      <c r="C10" s="219">
        <f>[17]Mode_PA_l_t_b0!C7</f>
        <v>51.745674146421401</v>
      </c>
      <c r="D10" s="219">
        <f>[17]Mode_PA_l_t_b0!D7</f>
        <v>110.7528902249</v>
      </c>
      <c r="E10" s="214">
        <f>[17]Mode_PA_l_t_b0!E7</f>
        <v>14.737</v>
      </c>
      <c r="F10" s="214">
        <f>[17]Mode_PA_l_t_b0!F7</f>
        <v>5.5129999999999999</v>
      </c>
      <c r="G10" s="214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29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25">
      <c r="A11" s="220" t="s">
        <v>3</v>
      </c>
      <c r="B11" s="220">
        <f>[19]Mode_PA_h_t_b0!B7</f>
        <v>218.333</v>
      </c>
      <c r="C11" s="220">
        <f>[19]Mode_PA_h_t_b0!C7</f>
        <v>137.65678545155001</v>
      </c>
      <c r="D11" s="220">
        <f>[19]Mode_PA_h_t_b0!D7</f>
        <v>299.00823125467798</v>
      </c>
      <c r="E11" s="222">
        <f>[19]Mode_PA_h_t_b0!E7</f>
        <v>34.774000000000001</v>
      </c>
      <c r="F11" s="222">
        <f>[19]Mode_PA_h_t_b0!F7</f>
        <v>6.2789999999999999</v>
      </c>
      <c r="G11" s="222">
        <f>[19]Mode_PA_h_t_b0!G7</f>
        <v>7.73</v>
      </c>
      <c r="H11" s="99">
        <f>[19]Mode_PA_h_t_b0!H7</f>
        <v>2.7E-4</v>
      </c>
      <c r="I11" s="99">
        <f>[19]Mode_PA_h_t_b0!I7</f>
        <v>4.0000000000000002E-4</v>
      </c>
      <c r="J11" s="230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25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25">
      <c r="A13" s="213" t="s">
        <v>41</v>
      </c>
      <c r="B13" s="213">
        <f>[13]Mode_PA_l_f0_b0!B8</f>
        <v>84.706999999999994</v>
      </c>
      <c r="C13" s="213">
        <f>[13]Mode_PA_l_f0_b0!C8</f>
        <v>81.133638575482294</v>
      </c>
      <c r="D13" s="213">
        <f>[13]Mode_PA_l_f0_b0!D8</f>
        <v>88.279591427499099</v>
      </c>
      <c r="E13" s="214">
        <f>[13]Mode_PA_l_f0_b0!E8</f>
        <v>1.6519999999999999</v>
      </c>
      <c r="F13" s="214">
        <f>[13]Mode_PA_l_f0_b0!F8</f>
        <v>51.277000000000001</v>
      </c>
      <c r="G13" s="214">
        <f>[13]Mode_PA_l_f0_b0!G8</f>
        <v>12.85</v>
      </c>
      <c r="H13" s="225">
        <f>[13]Mode_PA_l_f0_b0!H8</f>
        <v>2.9999999999999999E-16</v>
      </c>
      <c r="I13" s="225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25">
      <c r="A14" s="216" t="s">
        <v>42</v>
      </c>
      <c r="B14" s="216">
        <f>[15]Mode_PA_h_f0_b0!B8</f>
        <v>93.736999999999995</v>
      </c>
      <c r="C14" s="216">
        <f>[15]Mode_PA_h_f0_b0!C8</f>
        <v>89.644799114240996</v>
      </c>
      <c r="D14" s="216">
        <f>[15]Mode_PA_h_f0_b0!D8</f>
        <v>97.829742285346597</v>
      </c>
      <c r="E14" s="217">
        <f>[15]Mode_PA_h_f0_b0!E8</f>
        <v>1.8560000000000001</v>
      </c>
      <c r="F14" s="217">
        <f>[15]Mode_PA_h_f0_b0!F8</f>
        <v>50.515000000000001</v>
      </c>
      <c r="G14" s="217">
        <f>[15]Mode_PA_h_f0_b0!G8</f>
        <v>10.82</v>
      </c>
      <c r="H14" s="226">
        <f>[15]Mode_PA_h_f0_b0!H8</f>
        <v>3.4E-14</v>
      </c>
      <c r="I14" s="226">
        <f>[15]Mode_PA_h_f0_b0!I8</f>
        <v>1.1E-13</v>
      </c>
      <c r="J14" s="228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25">
      <c r="A15" s="219" t="s">
        <v>4</v>
      </c>
      <c r="B15" s="219">
        <f>[17]Mode_PA_l_t_b0!B8</f>
        <v>63.344000000000001</v>
      </c>
      <c r="C15" s="219">
        <f>[17]Mode_PA_l_t_b0!C8</f>
        <v>40.548764552006098</v>
      </c>
      <c r="D15" s="219">
        <f>[17]Mode_PA_l_t_b0!D8</f>
        <v>86.140197086469001</v>
      </c>
      <c r="E15" s="214">
        <f>[17]Mode_PA_l_t_b0!E8</f>
        <v>10.831</v>
      </c>
      <c r="F15" s="214">
        <f>[17]Mode_PA_l_t_b0!F8</f>
        <v>5.8490000000000002</v>
      </c>
      <c r="G15" s="214">
        <f>[17]Mode_PA_l_t_b0!G8</f>
        <v>17.55</v>
      </c>
      <c r="H15" s="225">
        <f>[17]Mode_PA_l_t_b0!H8</f>
        <v>1.7E-5</v>
      </c>
      <c r="I15" s="225">
        <f>[17]Mode_PA_l_t_b0!I8</f>
        <v>2.8E-5</v>
      </c>
      <c r="J15" s="229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25">
      <c r="A16" s="220" t="s">
        <v>3</v>
      </c>
      <c r="B16" s="220">
        <f>[19]Mode_PA_h_t_b0!B8</f>
        <v>267.35399999999998</v>
      </c>
      <c r="C16" s="220">
        <f>[19]Mode_PA_h_t_b0!C8</f>
        <v>187.31944529171901</v>
      </c>
      <c r="D16" s="220">
        <f>[19]Mode_PA_h_t_b0!D8</f>
        <v>347.38760276514603</v>
      </c>
      <c r="E16" s="222">
        <f>[19]Mode_PA_h_t_b0!E8</f>
        <v>31.405000000000001</v>
      </c>
      <c r="F16" s="222">
        <f>[19]Mode_PA_h_t_b0!F8</f>
        <v>8.5129999999999999</v>
      </c>
      <c r="G16" s="222">
        <f>[19]Mode_PA_h_t_b0!G8</f>
        <v>5.15</v>
      </c>
      <c r="H16" s="227">
        <f>[19]Mode_PA_h_t_b0!H8</f>
        <v>3.2000000000000003E-4</v>
      </c>
      <c r="I16" s="227">
        <f>[19]Mode_PA_h_t_b0!I8</f>
        <v>4.6999999999999999E-4</v>
      </c>
      <c r="J16" s="230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25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25">
      <c r="A18" s="213" t="s">
        <v>41</v>
      </c>
      <c r="B18" s="213">
        <f>[13]Mode_PA_l_f0_b0!B9</f>
        <v>86.724000000000004</v>
      </c>
      <c r="C18" s="213">
        <f>[13]Mode_PA_l_f0_b0!C9</f>
        <v>83.164863235291506</v>
      </c>
      <c r="D18" s="213">
        <f>[13]Mode_PA_l_f0_b0!D9</f>
        <v>90.282187472808502</v>
      </c>
      <c r="E18" s="214">
        <f>[13]Mode_PA_l_f0_b0!E9</f>
        <v>1.641</v>
      </c>
      <c r="F18" s="214">
        <f>[13]Mode_PA_l_f0_b0!F9</f>
        <v>52.862000000000002</v>
      </c>
      <c r="G18" s="214">
        <f>[13]Mode_PA_l_f0_b0!G9</f>
        <v>12.5</v>
      </c>
      <c r="H18" s="225">
        <f>[13]Mode_PA_l_f0_b0!H9</f>
        <v>4.5000000000000002E-16</v>
      </c>
      <c r="I18" s="225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25">
      <c r="A19" s="216" t="s">
        <v>42</v>
      </c>
      <c r="B19" s="216">
        <f>[15]Mode_PA_h_f0_b0!B9</f>
        <v>93.728999999999999</v>
      </c>
      <c r="C19" s="216">
        <f>[15]Mode_PA_h_f0_b0!C9</f>
        <v>89.656987791724603</v>
      </c>
      <c r="D19" s="216">
        <f>[15]Mode_PA_h_f0_b0!D9</f>
        <v>97.800438498133602</v>
      </c>
      <c r="E19" s="217">
        <f>[15]Mode_PA_h_f0_b0!E9</f>
        <v>1.8360000000000001</v>
      </c>
      <c r="F19" s="217">
        <f>[15]Mode_PA_h_f0_b0!F9</f>
        <v>51.037999999999997</v>
      </c>
      <c r="G19" s="217">
        <f>[15]Mode_PA_h_f0_b0!G9</f>
        <v>10.38</v>
      </c>
      <c r="H19" s="226">
        <f>[15]Mode_PA_h_f0_b0!H9</f>
        <v>8.3999999999999995E-14</v>
      </c>
      <c r="I19" s="226">
        <f>[15]Mode_PA_h_f0_b0!I9</f>
        <v>2.2999999999999998E-13</v>
      </c>
      <c r="J19" s="228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25">
      <c r="A20" s="219" t="s">
        <v>4</v>
      </c>
      <c r="B20" s="219">
        <f>[17]Mode_PA_l_t_b0!B9</f>
        <v>65.388999999999996</v>
      </c>
      <c r="C20" s="219">
        <f>[17]Mode_PA_l_t_b0!C9</f>
        <v>43.096406186970398</v>
      </c>
      <c r="D20" s="219">
        <f>[17]Mode_PA_l_t_b0!D9</f>
        <v>87.6806831178435</v>
      </c>
      <c r="E20" s="214">
        <f>[17]Mode_PA_l_t_b0!E9</f>
        <v>10.481</v>
      </c>
      <c r="F20" s="214">
        <f>[17]Mode_PA_l_t_b0!F9</f>
        <v>6.2389999999999999</v>
      </c>
      <c r="G20" s="214">
        <f>[17]Mode_PA_l_t_b0!G9</f>
        <v>15.37</v>
      </c>
      <c r="H20" s="225">
        <f>[17]Mode_PA_l_t_b0!H9</f>
        <v>1.4E-5</v>
      </c>
      <c r="I20" s="225">
        <f>[17]Mode_PA_l_t_b0!I9</f>
        <v>2.5999999999999998E-5</v>
      </c>
      <c r="J20" s="229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">
      <c r="A21" s="220" t="s">
        <v>3</v>
      </c>
      <c r="B21" s="220">
        <f>[19]Mode_PA_h_t_b0!B9</f>
        <v>267.60899999999998</v>
      </c>
      <c r="C21" s="220">
        <f>[19]Mode_PA_h_t_b0!C9</f>
        <v>187.45073539710501</v>
      </c>
      <c r="D21" s="220">
        <f>[19]Mode_PA_h_t_b0!D9</f>
        <v>347.76631975450999</v>
      </c>
      <c r="E21" s="222">
        <f>[19]Mode_PA_h_t_b0!E9</f>
        <v>31.145</v>
      </c>
      <c r="F21" s="222">
        <f>[19]Mode_PA_h_t_b0!F9</f>
        <v>8.5920000000000005</v>
      </c>
      <c r="G21" s="222">
        <f>[19]Mode_PA_h_t_b0!G9</f>
        <v>4.9800000000000004</v>
      </c>
      <c r="H21" s="227">
        <f>[19]Mode_PA_h_t_b0!H9</f>
        <v>3.6000000000000002E-4</v>
      </c>
      <c r="I21" s="227">
        <f>[19]Mode_PA_h_t_b0!I9</f>
        <v>5.1000000000000004E-4</v>
      </c>
      <c r="J21" s="230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topLeftCell="A3" zoomScale="111" zoomScaleNormal="111" zoomScaleSheetLayoutView="40" workbookViewId="0">
      <selection activeCell="C5" sqref="C5"/>
    </sheetView>
  </sheetViews>
  <sheetFormatPr defaultColWidth="13.85546875" defaultRowHeight="12.75" x14ac:dyDescent="0.2"/>
  <cols>
    <col min="1" max="1" width="17.140625" style="82" customWidth="1"/>
    <col min="2" max="3" width="11.85546875" style="82" customWidth="1"/>
    <col min="4" max="10" width="11.85546875" style="83" customWidth="1"/>
    <col min="11" max="11" width="9.7109375" style="211" customWidth="1"/>
    <col min="12" max="12" width="11.42578125" style="211" customWidth="1"/>
    <col min="13" max="14" width="7.7109375" style="79" customWidth="1"/>
    <col min="15" max="16" width="11.42578125" style="79" customWidth="1"/>
    <col min="17" max="18" width="8.7109375" style="79" customWidth="1"/>
    <col min="19" max="19" width="11.42578125" style="80" customWidth="1"/>
    <col min="20" max="20" width="9.7109375" style="80" customWidth="1"/>
    <col min="21" max="21" width="11.42578125" style="80" customWidth="1"/>
    <col min="22" max="23" width="7.7109375" style="79" customWidth="1"/>
    <col min="24" max="25" width="11.42578125" style="79" customWidth="1"/>
    <col min="26" max="27" width="8.7109375" style="79" customWidth="1"/>
    <col min="28" max="28" width="11.42578125" style="80" customWidth="1"/>
    <col min="29" max="29" width="9.7109375" style="80" customWidth="1"/>
    <col min="30" max="30" width="11.42578125" style="80" customWidth="1"/>
    <col min="31" max="32" width="7.7109375" style="79" customWidth="1"/>
    <col min="33" max="34" width="11.42578125" style="79" customWidth="1"/>
    <col min="35" max="36" width="8.7109375" style="79" customWidth="1"/>
    <col min="37" max="37" width="11.42578125" style="80" customWidth="1"/>
    <col min="38" max="38" width="9.7109375" style="80" customWidth="1"/>
    <col min="39" max="39" width="11.42578125" style="80" customWidth="1"/>
    <col min="40" max="41" width="7.7109375" style="79" customWidth="1"/>
    <col min="42" max="43" width="11.42578125" style="79" customWidth="1"/>
    <col min="44" max="45" width="8.7109375" style="79" customWidth="1"/>
    <col min="46" max="46" width="11.42578125" style="80" customWidth="1"/>
    <col min="47" max="47" width="9.7109375" style="80" customWidth="1"/>
    <col min="48" max="48" width="11.42578125" style="80" customWidth="1"/>
    <col min="49" max="50" width="7.7109375" style="79" customWidth="1"/>
    <col min="51" max="52" width="11.42578125" style="79" customWidth="1"/>
    <col min="53" max="54" width="8.7109375" style="79" customWidth="1"/>
    <col min="55" max="55" width="11.42578125" style="80" customWidth="1"/>
    <col min="56" max="56" width="9.7109375" style="80" customWidth="1"/>
    <col min="57" max="57" width="11.42578125" style="80" customWidth="1"/>
    <col min="58" max="59" width="11.42578125" style="79" customWidth="1"/>
    <col min="60" max="16384" width="13.85546875" style="79"/>
  </cols>
  <sheetData>
    <row r="1" spans="1:57" s="264" customFormat="1" ht="24" customHeight="1" thickBot="1" x14ac:dyDescent="0.35">
      <c r="A1" s="276" t="s">
        <v>76</v>
      </c>
      <c r="B1" s="276"/>
      <c r="C1" s="276"/>
      <c r="D1" s="276"/>
      <c r="E1" s="276"/>
      <c r="F1" s="276"/>
      <c r="G1" s="276"/>
      <c r="H1" s="276"/>
      <c r="I1" s="276"/>
      <c r="J1" s="276"/>
      <c r="K1" s="263"/>
      <c r="L1" s="263"/>
      <c r="S1" s="265"/>
      <c r="T1" s="265"/>
      <c r="U1" s="265"/>
      <c r="AB1" s="265"/>
      <c r="AC1" s="265"/>
      <c r="AD1" s="265"/>
      <c r="AK1" s="265"/>
      <c r="AL1" s="265"/>
      <c r="AM1" s="265"/>
      <c r="AT1" s="265"/>
      <c r="AU1" s="265"/>
      <c r="AV1" s="265"/>
      <c r="BC1" s="265"/>
      <c r="BD1" s="265"/>
      <c r="BE1" s="265"/>
    </row>
    <row r="2" spans="1:57" s="210" customFormat="1" ht="15.75" customHeight="1" thickTop="1" thickBot="1" x14ac:dyDescent="0.25">
      <c r="A2" s="65" t="s">
        <v>83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3" t="s">
        <v>64</v>
      </c>
    </row>
    <row r="3" spans="1:57" s="210" customFormat="1" ht="15.75" customHeight="1" thickTop="1" thickBot="1" x14ac:dyDescent="0.25">
      <c r="A3" s="232" t="s">
        <v>41</v>
      </c>
      <c r="B3" s="232">
        <f>[21]Mode_PA_l_f0_b1!C8</f>
        <v>2.88</v>
      </c>
      <c r="C3" s="232">
        <f>[21]Mode_PA_l_f0_b1!D8</f>
        <v>1.4143519263022799</v>
      </c>
      <c r="D3" s="232">
        <f>[21]Mode_PA_l_f0_b1!E8</f>
        <v>4.3456949573352404</v>
      </c>
      <c r="E3" s="233">
        <f>[21]Mode_PA_l_f0_b1!F8</f>
        <v>0.746</v>
      </c>
      <c r="F3" s="233">
        <f>[21]Mode_PA_l_f0_b1!G8</f>
        <v>3.859</v>
      </c>
      <c r="G3" s="233">
        <f>[21]Mode_PA_l_f0_b1!H8</f>
        <v>600</v>
      </c>
      <c r="H3" s="234">
        <f>[21]Mode_PA_l_f0_b1!I8</f>
        <v>1.2999999999999999E-4</v>
      </c>
      <c r="I3" s="234">
        <f>[21]Mode_PA_l_f0_b1!J8</f>
        <v>3.8999999999999999E-4</v>
      </c>
      <c r="J3" s="235" t="str">
        <f>[21]Mode_PA_l_f0_b1!K8</f>
        <v>p&lt;0.001</v>
      </c>
      <c r="K3" s="184">
        <f>B3-C3</f>
        <v>1.46564807369772</v>
      </c>
    </row>
    <row r="4" spans="1:57" s="86" customFormat="1" ht="15.75" customHeight="1" thickBot="1" x14ac:dyDescent="0.25">
      <c r="A4" s="236" t="s">
        <v>42</v>
      </c>
      <c r="B4" s="236">
        <f>[22]Mode_PA_h_f0_b1!C8</f>
        <v>-0.27300000000000002</v>
      </c>
      <c r="C4" s="236">
        <f>[22]Mode_PA_h_f0_b1!D8</f>
        <v>-2.4228532078011602</v>
      </c>
      <c r="D4" s="236">
        <f>[22]Mode_PA_h_f0_b1!E8</f>
        <v>1.87670209698594</v>
      </c>
      <c r="E4" s="237">
        <f>[22]Mode_PA_h_f0_b1!F8</f>
        <v>1.095</v>
      </c>
      <c r="F4" s="237">
        <f>[22]Mode_PA_h_f0_b1!G8</f>
        <v>-0.249</v>
      </c>
      <c r="G4" s="237">
        <f>[22]Mode_PA_h_f0_b1!H8</f>
        <v>610.98</v>
      </c>
      <c r="H4" s="238">
        <f>[22]Mode_PA_h_f0_b1!I8</f>
        <v>0.80300000000000005</v>
      </c>
      <c r="I4" s="238">
        <f>[22]Mode_PA_h_f0_b1!J8</f>
        <v>0.90600000000000003</v>
      </c>
      <c r="J4" s="235">
        <f>[22]Mode_PA_h_f0_b1!K8</f>
        <v>0</v>
      </c>
      <c r="K4" s="184">
        <f t="shared" ref="K4:K6" si="0">B4-C4</f>
        <v>2.1498532078011601</v>
      </c>
    </row>
    <row r="5" spans="1:57" ht="15.75" customHeight="1" thickBot="1" x14ac:dyDescent="0.25">
      <c r="A5" s="239" t="s">
        <v>4</v>
      </c>
      <c r="B5" s="239">
        <f>[23]Mode_PA_l_t_b1!C8</f>
        <v>13.842000000000001</v>
      </c>
      <c r="C5" s="239">
        <f>[23]Mode_PA_l_t_b1!D8</f>
        <v>-7.7286761016436296</v>
      </c>
      <c r="D5" s="239">
        <f>[23]Mode_PA_l_t_b1!E8</f>
        <v>35.411761488235797</v>
      </c>
      <c r="E5" s="232">
        <f>[23]Mode_PA_l_t_b1!F8</f>
        <v>10.983000000000001</v>
      </c>
      <c r="F5" s="233">
        <f>[23]Mode_PA_l_t_b1!G8</f>
        <v>1.26</v>
      </c>
      <c r="G5" s="233">
        <f>[23]Mode_PA_l_t_b1!H8</f>
        <v>606.73</v>
      </c>
      <c r="H5" s="238">
        <f>[23]Mode_PA_l_t_b1!I8</f>
        <v>0.20799999999999999</v>
      </c>
      <c r="I5" s="238">
        <f>[23]Mode_PA_l_t_b1!J8</f>
        <v>0.28000000000000003</v>
      </c>
      <c r="J5" s="235">
        <f>[23]Mode_PA_l_t_b1!K8</f>
        <v>0</v>
      </c>
      <c r="K5" s="184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25">
      <c r="A6" s="240" t="s">
        <v>3</v>
      </c>
      <c r="B6" s="240">
        <f>[24]Mode_PA_h_t_b1!C8</f>
        <v>-49.881999999999998</v>
      </c>
      <c r="C6" s="240">
        <f>[24]Mode_PA_h_t_b1!D8</f>
        <v>-82.044816438502707</v>
      </c>
      <c r="D6" s="240">
        <f>[24]Mode_PA_h_t_b1!E8</f>
        <v>-17.7191099339265</v>
      </c>
      <c r="E6" s="241">
        <f>[24]Mode_PA_h_t_b1!F8</f>
        <v>16.376999999999999</v>
      </c>
      <c r="F6" s="242">
        <f>[24]Mode_PA_h_t_b1!G8</f>
        <v>-3.0459999999999998</v>
      </c>
      <c r="G6" s="242">
        <f>[24]Mode_PA_h_t_b1!H8</f>
        <v>609.57000000000005</v>
      </c>
      <c r="H6" s="243">
        <f>[24]Mode_PA_h_t_b1!I8</f>
        <v>2E-3</v>
      </c>
      <c r="I6" s="243">
        <f>[24]Mode_PA_h_t_b1!J8</f>
        <v>4.0000000000000001E-3</v>
      </c>
      <c r="J6" s="244" t="str">
        <f>[24]Mode_PA_h_t_b1!K8</f>
        <v>p&lt;0.01</v>
      </c>
      <c r="K6" s="184">
        <f t="shared" si="0"/>
        <v>32.162816438502709</v>
      </c>
    </row>
    <row r="7" spans="1:57" ht="15.75" customHeight="1" thickTop="1" thickBot="1" x14ac:dyDescent="0.25">
      <c r="A7" s="65" t="s">
        <v>84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83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25">
      <c r="A8" s="232" t="s">
        <v>41</v>
      </c>
      <c r="B8" s="232">
        <f>[21]Mode_PA_l_f0_b1!C9</f>
        <v>0.71599999999999997</v>
      </c>
      <c r="C8" s="232">
        <f>[21]Mode_PA_l_f0_b1!D9</f>
        <v>0.109810559163631</v>
      </c>
      <c r="D8" s="232">
        <f>[21]Mode_PA_l_f0_b1!E9</f>
        <v>1.3228377311159101</v>
      </c>
      <c r="E8" s="233">
        <f>[21]Mode_PA_l_f0_b1!F9</f>
        <v>0.309</v>
      </c>
      <c r="F8" s="233">
        <f>[21]Mode_PA_l_f0_b1!G9</f>
        <v>2.3199999999999998</v>
      </c>
      <c r="G8" s="233">
        <f>[21]Mode_PA_l_f0_b1!H9</f>
        <v>599.23</v>
      </c>
      <c r="H8" s="234">
        <f>[21]Mode_PA_l_f0_b1!I9</f>
        <v>2.1000000000000001E-2</v>
      </c>
      <c r="I8" s="234">
        <f>[21]Mode_PA_l_f0_b1!J9</f>
        <v>3.5000000000000003E-2</v>
      </c>
      <c r="J8" s="235" t="str">
        <f>[21]Mode_PA_l_f0_b1!K9</f>
        <v>p&lt;0.05</v>
      </c>
      <c r="K8" s="184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25">
      <c r="A9" s="236" t="s">
        <v>42</v>
      </c>
      <c r="B9" s="236">
        <f>[22]Mode_PA_h_f0_b1!C9</f>
        <v>3.577</v>
      </c>
      <c r="C9" s="236">
        <f>[22]Mode_PA_h_f0_b1!D9</f>
        <v>2.7248136399718699</v>
      </c>
      <c r="D9" s="236">
        <f>[22]Mode_PA_h_f0_b1!E9</f>
        <v>4.4287303056152298</v>
      </c>
      <c r="E9" s="237">
        <f>[22]Mode_PA_h_f0_b1!F9</f>
        <v>0.434</v>
      </c>
      <c r="F9" s="237">
        <f>[22]Mode_PA_h_f0_b1!G9</f>
        <v>8.2449999999999992</v>
      </c>
      <c r="G9" s="237">
        <f>[22]Mode_PA_h_f0_b1!H9</f>
        <v>610.16999999999996</v>
      </c>
      <c r="H9" s="245">
        <f>[22]Mode_PA_h_f0_b1!I9</f>
        <v>1.0000000000000001E-15</v>
      </c>
      <c r="I9" s="245">
        <f>[22]Mode_PA_h_f0_b1!J9</f>
        <v>7.4999999999999996E-15</v>
      </c>
      <c r="J9" s="235" t="str">
        <f>[22]Mode_PA_h_f0_b1!K9</f>
        <v>p&lt;0.0001</v>
      </c>
      <c r="K9" s="184">
        <f t="shared" ref="K9:K11" si="2">B9-C9</f>
        <v>0.85218636002813009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25">
      <c r="A10" s="239" t="s">
        <v>4</v>
      </c>
      <c r="B10" s="239">
        <f>[23]Mode_PA_l_t_b1!C9</f>
        <v>-4.0629999999999997</v>
      </c>
      <c r="C10" s="239">
        <f>[23]Mode_PA_l_t_b1!D9</f>
        <v>-12.6427494005663</v>
      </c>
      <c r="D10" s="239">
        <f>[23]Mode_PA_l_t_b1!E9</f>
        <v>4.5162345382764499</v>
      </c>
      <c r="E10" s="233">
        <f>[23]Mode_PA_l_t_b1!F9</f>
        <v>4.3689999999999998</v>
      </c>
      <c r="F10" s="233">
        <f>[23]Mode_PA_l_t_b1!G9</f>
        <v>-0.93</v>
      </c>
      <c r="G10" s="233">
        <f>[23]Mode_PA_l_t_b1!H9</f>
        <v>607.47</v>
      </c>
      <c r="H10" s="238">
        <f>[23]Mode_PA_l_t_b1!I9</f>
        <v>0.35299999999999998</v>
      </c>
      <c r="I10" s="238">
        <f>[23]Mode_PA_l_t_b1!J9</f>
        <v>0.45100000000000001</v>
      </c>
      <c r="J10" s="235">
        <f>[23]Mode_PA_l_t_b1!K9</f>
        <v>0</v>
      </c>
      <c r="K10" s="184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25">
      <c r="A11" s="240" t="s">
        <v>3</v>
      </c>
      <c r="B11" s="240">
        <f>[24]Mode_PA_h_t_b1!C9</f>
        <v>-0.86099999999999999</v>
      </c>
      <c r="C11" s="240">
        <f>[24]Mode_PA_h_t_b1!D9</f>
        <v>-13.6202478931702</v>
      </c>
      <c r="D11" s="240">
        <f>[24]Mode_PA_h_t_b1!E9</f>
        <v>11.8983528620118</v>
      </c>
      <c r="E11" s="242">
        <f>[24]Mode_PA_h_t_b1!F9</f>
        <v>6.4969999999999999</v>
      </c>
      <c r="F11" s="242">
        <f>[24]Mode_PA_h_t_b1!G9</f>
        <v>-0.13300000000000001</v>
      </c>
      <c r="G11" s="242">
        <f>[24]Mode_PA_h_t_b1!H9</f>
        <v>608.66999999999996</v>
      </c>
      <c r="H11" s="246">
        <f>[24]Mode_PA_h_t_b1!I9</f>
        <v>0.89500000000000002</v>
      </c>
      <c r="I11" s="246">
        <f>[24]Mode_PA_h_t_b1!J9</f>
        <v>0.93799999999999994</v>
      </c>
      <c r="J11" s="244">
        <f>[24]Mode_PA_h_t_b1!K9</f>
        <v>0</v>
      </c>
      <c r="K11" s="184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25">
      <c r="A12" s="65" t="s">
        <v>85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83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25">
      <c r="A13" s="232" t="s">
        <v>41</v>
      </c>
      <c r="B13" s="232">
        <f>[21]Mode_PA_l_f0_b1!C10</f>
        <v>2.7330000000000001</v>
      </c>
      <c r="C13" s="232">
        <f>[21]Mode_PA_l_f0_b1!D10</f>
        <v>2.2651751197030698</v>
      </c>
      <c r="D13" s="232">
        <f>[21]Mode_PA_l_f0_b1!E10</f>
        <v>3.20129385599936</v>
      </c>
      <c r="E13" s="233">
        <f>[21]Mode_PA_l_f0_b1!F10</f>
        <v>0.23799999999999999</v>
      </c>
      <c r="F13" s="233">
        <f>[21]Mode_PA_l_f0_b1!G10</f>
        <v>11.468</v>
      </c>
      <c r="G13" s="233">
        <f>[21]Mode_PA_l_f0_b1!H10</f>
        <v>599.17999999999995</v>
      </c>
      <c r="H13" s="245">
        <f>[21]Mode_PA_l_f0_b1!I10</f>
        <v>1.2E-27</v>
      </c>
      <c r="I13" s="245">
        <f>[21]Mode_PA_l_f0_b1!J10</f>
        <v>1.9000000000000001E-26</v>
      </c>
      <c r="J13" s="235" t="str">
        <f>[21]Mode_PA_l_f0_b1!K10</f>
        <v>p&lt;0.0001</v>
      </c>
      <c r="K13" s="184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25">
      <c r="A14" s="236" t="s">
        <v>42</v>
      </c>
      <c r="B14" s="236">
        <f>[22]Mode_PA_h_f0_b1!C10</f>
        <v>3.5680000000000001</v>
      </c>
      <c r="C14" s="236">
        <f>[22]Mode_PA_h_f0_b1!D10</f>
        <v>2.9027965666353199</v>
      </c>
      <c r="D14" s="236">
        <f>[22]Mode_PA_h_f0_b1!E10</f>
        <v>4.2336322711520298</v>
      </c>
      <c r="E14" s="237">
        <f>[22]Mode_PA_h_f0_b1!F10</f>
        <v>0.33900000000000002</v>
      </c>
      <c r="F14" s="237">
        <f>[22]Mode_PA_h_f0_b1!G10</f>
        <v>10.531000000000001</v>
      </c>
      <c r="G14" s="237">
        <f>[22]Mode_PA_h_f0_b1!H10</f>
        <v>610.69000000000005</v>
      </c>
      <c r="H14" s="245">
        <f>[22]Mode_PA_h_f0_b1!I10</f>
        <v>6.1000000000000004E-24</v>
      </c>
      <c r="I14" s="245">
        <f>[22]Mode_PA_h_f0_b1!J10</f>
        <v>8.4999999999999996E-23</v>
      </c>
      <c r="J14" s="235" t="str">
        <f>[22]Mode_PA_h_f0_b1!K10</f>
        <v>p&lt;0.0001</v>
      </c>
      <c r="K14" s="184">
        <f t="shared" ref="K14:K16" si="4">B14-C14</f>
        <v>0.66520343336468013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25">
      <c r="A15" s="239" t="s">
        <v>4</v>
      </c>
      <c r="B15" s="239">
        <f>[23]Mode_PA_l_t_b1!C10</f>
        <v>-2.0190000000000001</v>
      </c>
      <c r="C15" s="239">
        <f>[23]Mode_PA_l_t_b1!D10</f>
        <v>-8.6991730733742596</v>
      </c>
      <c r="D15" s="239">
        <f>[23]Mode_PA_l_t_b1!E10</f>
        <v>4.6607931810943404</v>
      </c>
      <c r="E15" s="233">
        <f>[23]Mode_PA_l_t_b1!F10</f>
        <v>3.4009999999999998</v>
      </c>
      <c r="F15" s="233">
        <f>[23]Mode_PA_l_t_b1!G10</f>
        <v>-0.59399999999999997</v>
      </c>
      <c r="G15" s="233">
        <f>[23]Mode_PA_l_t_b1!H10</f>
        <v>608.59</v>
      </c>
      <c r="H15" s="238">
        <f>[23]Mode_PA_l_t_b1!I10</f>
        <v>0.55300000000000005</v>
      </c>
      <c r="I15" s="238">
        <f>[23]Mode_PA_l_t_b1!J10</f>
        <v>0.64600000000000002</v>
      </c>
      <c r="J15" s="235">
        <f>[23]Mode_PA_l_t_b1!K10</f>
        <v>0</v>
      </c>
      <c r="K15" s="184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25">
      <c r="A16" s="240" t="s">
        <v>3</v>
      </c>
      <c r="B16" s="240">
        <f>[24]Mode_PA_h_t_b1!C10</f>
        <v>-0.60599999999999998</v>
      </c>
      <c r="C16" s="240">
        <f>[24]Mode_PA_h_t_b1!D10</f>
        <v>-10.544624522024501</v>
      </c>
      <c r="D16" s="240">
        <f>[24]Mode_PA_h_t_b1!E10</f>
        <v>9.3327365828932507</v>
      </c>
      <c r="E16" s="242">
        <f>[24]Mode_PA_h_t_b1!F10</f>
        <v>5.0609999999999999</v>
      </c>
      <c r="F16" s="242">
        <f>[24]Mode_PA_h_t_b1!G10</f>
        <v>-0.12</v>
      </c>
      <c r="G16" s="242">
        <f>[24]Mode_PA_h_t_b1!H10</f>
        <v>609.58000000000004</v>
      </c>
      <c r="H16" s="246">
        <f>[24]Mode_PA_h_t_b1!I10</f>
        <v>0.90500000000000003</v>
      </c>
      <c r="I16" s="246">
        <f>[24]Mode_PA_h_t_b1!J10</f>
        <v>0.93799999999999994</v>
      </c>
      <c r="J16" s="244">
        <f>[24]Mode_PA_h_t_b1!K10</f>
        <v>0</v>
      </c>
      <c r="K16" s="184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25">
      <c r="A17" s="65" t="s">
        <v>86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83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25">
      <c r="A18" s="232" t="s">
        <v>41</v>
      </c>
      <c r="B18" s="232">
        <f>[21]Mode_PA_l_f0_b1!C11</f>
        <v>-2.1640000000000001</v>
      </c>
      <c r="C18" s="232">
        <f>[21]Mode_PA_l_f0_b1!D11</f>
        <v>-3.6806370499734702</v>
      </c>
      <c r="D18" s="232">
        <f>[21]Mode_PA_l_f0_b1!E11</f>
        <v>-0.64676155498061305</v>
      </c>
      <c r="E18" s="233">
        <f>[21]Mode_PA_l_f0_b1!F11</f>
        <v>0.77200000000000002</v>
      </c>
      <c r="F18" s="233">
        <f>[21]Mode_PA_l_f0_b1!G11</f>
        <v>-2.8010000000000002</v>
      </c>
      <c r="G18" s="233">
        <f>[21]Mode_PA_l_f0_b1!H11</f>
        <v>600.20000000000005</v>
      </c>
      <c r="H18" s="234">
        <f>[21]Mode_PA_l_f0_b1!I11</f>
        <v>5.0000000000000001E-3</v>
      </c>
      <c r="I18" s="234">
        <f>[21]Mode_PA_l_f0_b1!J11</f>
        <v>8.9999999999999993E-3</v>
      </c>
      <c r="J18" s="235" t="str">
        <f>[21]Mode_PA_l_f0_b1!K11</f>
        <v>p&lt;0.01</v>
      </c>
      <c r="K18" s="184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25">
      <c r="A19" s="236" t="s">
        <v>42</v>
      </c>
      <c r="B19" s="236">
        <f>[22]Mode_PA_h_f0_b1!C11</f>
        <v>3.85</v>
      </c>
      <c r="C19" s="236">
        <f>[22]Mode_PA_h_f0_b1!D11</f>
        <v>1.6272669506864601</v>
      </c>
      <c r="D19" s="236">
        <f>[22]Mode_PA_h_f0_b1!E11</f>
        <v>6.0724281061155496</v>
      </c>
      <c r="E19" s="237">
        <f>[22]Mode_PA_h_f0_b1!F11</f>
        <v>1.1319999999999999</v>
      </c>
      <c r="F19" s="237">
        <f>[22]Mode_PA_h_f0_b1!G11</f>
        <v>3.4020000000000001</v>
      </c>
      <c r="G19" s="237">
        <f>[22]Mode_PA_h_f0_b1!H11</f>
        <v>611</v>
      </c>
      <c r="H19" s="234">
        <f>[22]Mode_PA_h_f0_b1!I11</f>
        <v>7.1000000000000002E-4</v>
      </c>
      <c r="I19" s="234">
        <f>[22]Mode_PA_h_f0_b1!J11</f>
        <v>2E-3</v>
      </c>
      <c r="J19" s="235" t="str">
        <f>[22]Mode_PA_h_f0_b1!K11</f>
        <v>p&lt;0.01</v>
      </c>
      <c r="K19" s="184">
        <f t="shared" ref="K19:K21" si="6">B19-C19</f>
        <v>2.2227330493135398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25">
      <c r="A20" s="239" t="s">
        <v>4</v>
      </c>
      <c r="B20" s="239">
        <f>[23]Mode_PA_l_t_b1!C11</f>
        <v>-17.905000000000001</v>
      </c>
      <c r="C20" s="239">
        <f>[23]Mode_PA_l_t_b1!D11</f>
        <v>-40.173241334541203</v>
      </c>
      <c r="D20" s="239">
        <f>[23]Mode_PA_l_t_b1!E11</f>
        <v>4.3636491167081601</v>
      </c>
      <c r="E20" s="233">
        <f>[23]Mode_PA_l_t_b1!F11</f>
        <v>11.339</v>
      </c>
      <c r="F20" s="233">
        <f>[23]Mode_PA_l_t_b1!G11</f>
        <v>-1.579</v>
      </c>
      <c r="G20" s="233">
        <f>[23]Mode_PA_l_t_b1!H11</f>
        <v>605.26</v>
      </c>
      <c r="H20" s="238">
        <f>[23]Mode_PA_l_t_b1!I11</f>
        <v>0.115</v>
      </c>
      <c r="I20" s="238">
        <f>[23]Mode_PA_l_t_b1!J11</f>
        <v>0.17100000000000001</v>
      </c>
      <c r="J20" s="235">
        <f>[23]Mode_PA_l_t_b1!K11</f>
        <v>0</v>
      </c>
      <c r="K20" s="184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25">
      <c r="A21" s="240" t="s">
        <v>3</v>
      </c>
      <c r="B21" s="239">
        <f>[24]Mode_PA_h_t_b1!C11</f>
        <v>49.021000000000001</v>
      </c>
      <c r="C21" s="239">
        <f>[24]Mode_PA_h_t_b1!D11</f>
        <v>15.837034689771899</v>
      </c>
      <c r="D21" s="239">
        <f>[24]Mode_PA_h_t_b1!E11</f>
        <v>82.204996663470496</v>
      </c>
      <c r="E21" s="233">
        <f>[24]Mode_PA_h_t_b1!F11</f>
        <v>16.896999999999998</v>
      </c>
      <c r="F21" s="233">
        <f>[24]Mode_PA_h_t_b1!G11</f>
        <v>2.9009999999999998</v>
      </c>
      <c r="G21" s="233">
        <f>[24]Mode_PA_h_t_b1!H11</f>
        <v>609.64</v>
      </c>
      <c r="H21" s="234">
        <f>[24]Mode_PA_h_t_b1!I11</f>
        <v>4.0000000000000001E-3</v>
      </c>
      <c r="I21" s="234">
        <f>[24]Mode_PA_h_t_b1!J11</f>
        <v>7.0000000000000001E-3</v>
      </c>
      <c r="J21" s="235" t="str">
        <f>[24]Mode_PA_h_t_b1!K11</f>
        <v>p&lt;0.01</v>
      </c>
      <c r="K21" s="184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25">
      <c r="A22" s="65" t="s">
        <v>87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83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25">
      <c r="A23" s="232" t="s">
        <v>41</v>
      </c>
      <c r="B23" s="232">
        <f>[21]Mode_PA_l_f0_b1!C12</f>
        <v>-0.14699999999999999</v>
      </c>
      <c r="C23" s="232">
        <f>[21]Mode_PA_l_f0_b1!D12</f>
        <v>-1.5892615115800499</v>
      </c>
      <c r="D23" s="232">
        <f>[21]Mode_PA_l_f0_b1!E12</f>
        <v>1.2956835949843299</v>
      </c>
      <c r="E23" s="233">
        <f>[21]Mode_PA_l_f0_b1!F12</f>
        <v>0.73399999999999999</v>
      </c>
      <c r="F23" s="233">
        <f>[21]Mode_PA_l_f0_b1!G12</f>
        <v>-0.2</v>
      </c>
      <c r="G23" s="233">
        <f>[21]Mode_PA_l_f0_b1!H12</f>
        <v>599.91</v>
      </c>
      <c r="H23" s="238">
        <f>[21]Mode_PA_l_f0_b1!I12</f>
        <v>0.84199999999999997</v>
      </c>
      <c r="I23" s="238">
        <f>[21]Mode_PA_l_f0_b1!J12</f>
        <v>0.92800000000000005</v>
      </c>
      <c r="J23" s="235">
        <f>[21]Mode_PA_l_f0_b1!K12</f>
        <v>0</v>
      </c>
      <c r="K23" s="184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25">
      <c r="A24" s="236" t="s">
        <v>42</v>
      </c>
      <c r="B24" s="236">
        <f>[22]Mode_PA_h_f0_b1!C12</f>
        <v>3.8410000000000002</v>
      </c>
      <c r="C24" s="236">
        <f>[22]Mode_PA_h_f0_b1!D12</f>
        <v>1.7225676834208301</v>
      </c>
      <c r="D24" s="236">
        <f>[22]Mode_PA_h_f0_b1!E12</f>
        <v>5.9600122655439902</v>
      </c>
      <c r="E24" s="237">
        <f>[22]Mode_PA_h_f0_b1!F12</f>
        <v>1.079</v>
      </c>
      <c r="F24" s="237">
        <f>[22]Mode_PA_h_f0_b1!G12</f>
        <v>3.5609999999999999</v>
      </c>
      <c r="G24" s="237">
        <f>[22]Mode_PA_h_f0_b1!H12</f>
        <v>610.77</v>
      </c>
      <c r="H24" s="234">
        <f>[22]Mode_PA_h_f0_b1!I12</f>
        <v>4.0000000000000002E-4</v>
      </c>
      <c r="I24" s="234">
        <f>[22]Mode_PA_h_f0_b1!J12</f>
        <v>1E-3</v>
      </c>
      <c r="J24" s="235" t="str">
        <f>[22]Mode_PA_h_f0_b1!K12</f>
        <v>p&lt;0.01</v>
      </c>
      <c r="K24" s="184">
        <f t="shared" ref="K24:K26" si="8">B24-C24</f>
        <v>2.1184323165791703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25">
      <c r="A25" s="240" t="s">
        <v>4</v>
      </c>
      <c r="B25" s="239">
        <f>[23]Mode_PA_l_t_b1!C12</f>
        <v>-15.861000000000001</v>
      </c>
      <c r="C25" s="239">
        <f>[23]Mode_PA_l_t_b1!D12</f>
        <v>-37.137151826048502</v>
      </c>
      <c r="D25" s="239">
        <f>[23]Mode_PA_l_t_b1!E12</f>
        <v>5.41569007626219</v>
      </c>
      <c r="E25" s="233">
        <f>[23]Mode_PA_l_t_b1!F12</f>
        <v>10.834</v>
      </c>
      <c r="F25" s="233">
        <f>[23]Mode_PA_l_t_b1!G12</f>
        <v>-1.464</v>
      </c>
      <c r="G25" s="233">
        <f>[23]Mode_PA_l_t_b1!H12</f>
        <v>608.38</v>
      </c>
      <c r="H25" s="238">
        <f>[23]Mode_PA_l_t_b1!I12</f>
        <v>0.14399999999999999</v>
      </c>
      <c r="I25" s="238">
        <f>[23]Mode_PA_l_t_b1!J12</f>
        <v>0.20499999999999999</v>
      </c>
      <c r="J25" s="235">
        <f>[23]Mode_PA_l_t_b1!K12</f>
        <v>0</v>
      </c>
      <c r="K25" s="184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25">
      <c r="A26" s="247" t="s">
        <v>3</v>
      </c>
      <c r="B26" s="240">
        <f>[24]Mode_PA_h_t_b1!C12</f>
        <v>49.276000000000003</v>
      </c>
      <c r="C26" s="240">
        <f>[24]Mode_PA_h_t_b1!D12</f>
        <v>17.576636459691901</v>
      </c>
      <c r="D26" s="240">
        <f>[24]Mode_PA_h_t_b1!E12</f>
        <v>80.975401982322097</v>
      </c>
      <c r="E26" s="242">
        <f>[24]Mode_PA_h_t_b1!F12</f>
        <v>16.140999999999998</v>
      </c>
      <c r="F26" s="242">
        <f>[24]Mode_PA_h_t_b1!G12</f>
        <v>3.0529999999999999</v>
      </c>
      <c r="G26" s="242">
        <f>[24]Mode_PA_h_t_b1!H12</f>
        <v>609.27</v>
      </c>
      <c r="H26" s="243">
        <f>[24]Mode_PA_h_t_b1!I12</f>
        <v>2E-3</v>
      </c>
      <c r="I26" s="243">
        <f>[24]Mode_PA_h_t_b1!J12</f>
        <v>4.0000000000000001E-3</v>
      </c>
      <c r="J26" s="244" t="str">
        <f>[24]Mode_PA_h_t_b1!K12</f>
        <v>p&lt;0.01</v>
      </c>
      <c r="K26" s="184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25">
      <c r="A27" s="65" t="s">
        <v>88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83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25">
      <c r="A28" s="232" t="s">
        <v>41</v>
      </c>
      <c r="B28" s="232">
        <f>[21]Mode_PA_l_f0_b1!C13</f>
        <v>2.0169999999999999</v>
      </c>
      <c r="C28" s="232">
        <f>[21]Mode_PA_l_f0_b1!D13</f>
        <v>1.43143752895072</v>
      </c>
      <c r="D28" s="232">
        <f>[21]Mode_PA_l_f0_b1!E13</f>
        <v>2.6023831583079602</v>
      </c>
      <c r="E28" s="233">
        <f>[21]Mode_PA_l_f0_b1!F13</f>
        <v>0.29799999999999999</v>
      </c>
      <c r="F28" s="233">
        <f>[21]Mode_PA_l_f0_b1!G13</f>
        <v>6.766</v>
      </c>
      <c r="G28" s="233">
        <f>[21]Mode_PA_l_f0_b1!H13</f>
        <v>599.44000000000005</v>
      </c>
      <c r="H28" s="234">
        <f>[21]Mode_PA_l_f0_b1!I13</f>
        <v>3.1999999999999999E-11</v>
      </c>
      <c r="I28" s="234">
        <f>[21]Mode_PA_l_f0_b1!J13</f>
        <v>1.5E-10</v>
      </c>
      <c r="J28" s="235" t="str">
        <f>[21]Mode_PA_l_f0_b1!K13</f>
        <v>p&lt;0.0001</v>
      </c>
      <c r="K28" s="184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25">
      <c r="A29" s="236" t="s">
        <v>42</v>
      </c>
      <c r="B29" s="236">
        <f>[22]Mode_PA_h_f0_b1!C13</f>
        <v>-8.9999999999999993E-3</v>
      </c>
      <c r="C29" s="236">
        <f>[22]Mode_PA_h_f0_b1!D13</f>
        <v>-0.85602072995003098</v>
      </c>
      <c r="D29" s="236">
        <f>[22]Mode_PA_h_f0_b1!E13</f>
        <v>0.83890562248414102</v>
      </c>
      <c r="E29" s="237">
        <f>[22]Mode_PA_h_f0_b1!F13</f>
        <v>0.432</v>
      </c>
      <c r="F29" s="237">
        <f>[22]Mode_PA_h_f0_b1!G13</f>
        <v>-0.02</v>
      </c>
      <c r="G29" s="237">
        <f>[22]Mode_PA_h_f0_b1!H13</f>
        <v>610.48</v>
      </c>
      <c r="H29" s="238">
        <f>[22]Mode_PA_h_f0_b1!I13</f>
        <v>0.98399999999999999</v>
      </c>
      <c r="I29" s="238">
        <f>[22]Mode_PA_h_f0_b1!J13</f>
        <v>0.98399999999999999</v>
      </c>
      <c r="J29" s="235">
        <f>[22]Mode_PA_h_f0_b1!K13</f>
        <v>0</v>
      </c>
      <c r="K29" s="184">
        <f t="shared" ref="K29:K31" si="10">B29-C29</f>
        <v>0.84702072995003097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25">
      <c r="A30" s="240" t="s">
        <v>4</v>
      </c>
      <c r="B30" s="239">
        <f>[23]Mode_PA_l_t_b1!C13</f>
        <v>2.044</v>
      </c>
      <c r="C30" s="239">
        <f>[23]Mode_PA_l_t_b1!D13</f>
        <v>-6.4797959443461899</v>
      </c>
      <c r="D30" s="239">
        <f>[23]Mode_PA_l_t_b1!E13</f>
        <v>10.5679236230505</v>
      </c>
      <c r="E30" s="233">
        <f>[23]Mode_PA_l_t_b1!F13</f>
        <v>4.34</v>
      </c>
      <c r="F30" s="233">
        <f>[23]Mode_PA_l_t_b1!G13</f>
        <v>0.47099999999999997</v>
      </c>
      <c r="G30" s="233">
        <f>[23]Mode_PA_l_t_b1!H13</f>
        <v>609.01</v>
      </c>
      <c r="H30" s="238">
        <f>[23]Mode_PA_l_t_b1!I13</f>
        <v>0.63800000000000001</v>
      </c>
      <c r="I30" s="238">
        <f>[23]Mode_PA_l_t_b1!J13</f>
        <v>0.72799999999999998</v>
      </c>
      <c r="J30" s="235">
        <f>[23]Mode_PA_l_t_b1!K13</f>
        <v>0</v>
      </c>
      <c r="K30" s="184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">
      <c r="A31" s="247" t="s">
        <v>3</v>
      </c>
      <c r="B31" s="240">
        <f>[24]Mode_PA_h_t_b1!C13</f>
        <v>0.255</v>
      </c>
      <c r="C31" s="240">
        <f>[24]Mode_PA_h_t_b1!D13</f>
        <v>-12.4304474503218</v>
      </c>
      <c r="D31" s="240">
        <f>[24]Mode_PA_h_t_b1!E13</f>
        <v>12.940454542958699</v>
      </c>
      <c r="E31" s="242">
        <f>[24]Mode_PA_h_t_b1!F13</f>
        <v>6.4589999999999996</v>
      </c>
      <c r="F31" s="242">
        <f>[24]Mode_PA_h_t_b1!G13</f>
        <v>3.9E-2</v>
      </c>
      <c r="G31" s="242">
        <f>[24]Mode_PA_h_t_b1!H13</f>
        <v>609.22</v>
      </c>
      <c r="H31" s="246">
        <f>[24]Mode_PA_h_t_b1!I13</f>
        <v>0.96899999999999997</v>
      </c>
      <c r="I31" s="246">
        <f>[24]Mode_PA_h_t_b1!J13</f>
        <v>0.98399999999999999</v>
      </c>
      <c r="J31" s="244">
        <f>[24]Mode_PA_h_t_b1!K13</f>
        <v>0</v>
      </c>
      <c r="K31" s="184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Normal="100" workbookViewId="0"/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7" spans="4:5" x14ac:dyDescent="0.25">
      <c r="D27" t="s">
        <v>52</v>
      </c>
    </row>
    <row r="29" spans="4:5" x14ac:dyDescent="0.25">
      <c r="E29" t="s">
        <v>52</v>
      </c>
    </row>
    <row r="33" spans="5:6" x14ac:dyDescent="0.25">
      <c r="F33" t="s">
        <v>19</v>
      </c>
    </row>
    <row r="34" spans="5:6" x14ac:dyDescent="0.25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Normal="100" workbookViewId="0">
      <selection activeCell="I31" sqref="I31"/>
    </sheetView>
  </sheetViews>
  <sheetFormatPr defaultRowHeight="15" x14ac:dyDescent="0.25"/>
  <cols>
    <col min="5" max="5" width="8.85546875" customWidth="1"/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9" spans="9:9" x14ac:dyDescent="0.25">
      <c r="I29" t="s">
        <v>52</v>
      </c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opLeftCell="A4" zoomScaleNormal="100" workbookViewId="0">
      <selection activeCell="N29" sqref="N29"/>
    </sheetView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PA gr</vt:lpstr>
      <vt:lpstr>comparisons</vt:lpstr>
      <vt:lpstr>Utt B0</vt:lpstr>
      <vt:lpstr>Utt full B0</vt:lpstr>
      <vt:lpstr>Utt B1</vt:lpstr>
      <vt:lpstr>Utt full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2022-08-03T23:25:18Z</dcterms:modified>
</cp:coreProperties>
</file>