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5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5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6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62.xml" ContentType="application/vnd.openxmlformats-officedocument.drawingml.chart+xml"/>
  <Override PartName="/xl/drawings/drawing9.xml" ContentType="application/vnd.openxmlformats-officedocument.drawingml.chartshapes+xml"/>
  <Override PartName="/xl/charts/chart63.xml" ContentType="application/vnd.openxmlformats-officedocument.drawingml.chart+xml"/>
  <Override PartName="/xl/drawings/drawing10.xml" ContentType="application/vnd.openxmlformats-officedocument.drawingml.chartshapes+xml"/>
  <Override PartName="/xl/charts/chart64.xml" ContentType="application/vnd.openxmlformats-officedocument.drawingml.chart+xml"/>
  <Override PartName="/xl/drawings/drawing11.xml" ContentType="application/vnd.openxmlformats-officedocument.drawingml.chartshapes+xml"/>
  <Override PartName="/xl/charts/chart65.xml" ContentType="application/vnd.openxmlformats-officedocument.drawingml.chart+xml"/>
  <Override PartName="/xl/drawings/drawing12.xml" ContentType="application/vnd.openxmlformats-officedocument.drawingml.chartshapes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drawings/drawing14.xml" ContentType="application/vnd.openxmlformats-officedocument.drawingml.chartshapes+xml"/>
  <Override PartName="/xl/charts/chart76.xml" ContentType="application/vnd.openxmlformats-officedocument.drawingml.chart+xml"/>
  <Override PartName="/xl/drawings/drawing15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6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7_Analysis_of_sentence_mode\"/>
    </mc:Choice>
  </mc:AlternateContent>
  <xr:revisionPtr revIDLastSave="0" documentId="13_ncr:1_{E50E1610-E20A-4438-B064-9A0C15139814}" xr6:coauthVersionLast="47" xr6:coauthVersionMax="47" xr10:uidLastSave="{00000000-0000-0000-0000-000000000000}"/>
  <bookViews>
    <workbookView xWindow="-108" yWindow="-108" windowWidth="23256" windowHeight="13176" tabRatio="1000" activeTab="8" xr2:uid="{5F934F14-35FB-48F8-B9CC-AA2F647F3C27}"/>
  </bookViews>
  <sheets>
    <sheet name="mode b0" sheetId="16" r:id="rId1"/>
    <sheet name="mode b1" sheetId="15" r:id="rId2"/>
    <sheet name="gg mode" sheetId="17" r:id="rId3"/>
    <sheet name="mode+ b0" sheetId="14" r:id="rId4"/>
    <sheet name="mode+ b1" sheetId="2" r:id="rId5"/>
    <sheet name="gg mode+" sheetId="7" r:id="rId6"/>
    <sheet name="PA b0" sheetId="13" r:id="rId7"/>
    <sheet name="PA b1" sheetId="10" r:id="rId8"/>
    <sheet name="gg PA" sheetId="12" r:id="rId9"/>
    <sheet name="comps" sheetId="20" r:id="rId10"/>
    <sheet name="Utt Mode b0" sheetId="18" r:id="rId11"/>
    <sheet name="Utt Mode+ b0" sheetId="21" r:id="rId12"/>
    <sheet name="Utt Mode b1" sheetId="19" r:id="rId13"/>
    <sheet name="Utt Mode+ b1" sheetId="22" r:id="rId14"/>
    <sheet name="Utt mean bs" sheetId="24" r:id="rId15"/>
    <sheet name="gg Utt" sheetId="23" r:id="rId16"/>
    <sheet name="gg Utt+" sheetId="25" r:id="rId17"/>
    <sheet name="leg" sheetId="11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Print_Area" localSheetId="1">'mode b1'!$A$2:$AZ$6</definedName>
    <definedName name="_xlnm.Print_Area" localSheetId="3">'mode+ b0'!#REF!</definedName>
    <definedName name="_xlnm.Print_Area" localSheetId="4">'mode+ b1'!$A$2:$BB$6</definedName>
    <definedName name="_xlnm.Print_Area" localSheetId="6">'PA b0'!$A$2:$AI$4</definedName>
    <definedName name="_xlnm.Print_Area" localSheetId="7">'PA b1'!$A$2:$BC$6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1" l="1"/>
  <c r="B11" i="19"/>
  <c r="B9" i="24" s="1"/>
  <c r="I20" i="22"/>
  <c r="H20" i="22"/>
  <c r="G20" i="22"/>
  <c r="F20" i="22"/>
  <c r="E20" i="22"/>
  <c r="D20" i="22"/>
  <c r="C20" i="22"/>
  <c r="C9" i="19"/>
  <c r="D9" i="19"/>
  <c r="E9" i="19"/>
  <c r="F9" i="19"/>
  <c r="G9" i="19"/>
  <c r="H9" i="19"/>
  <c r="I9" i="19"/>
  <c r="C20" i="19"/>
  <c r="E8" i="19"/>
  <c r="L14" i="21"/>
  <c r="L13" i="21"/>
  <c r="L12" i="21"/>
  <c r="L11" i="21"/>
  <c r="J9" i="19"/>
  <c r="K9" i="19"/>
  <c r="J6" i="13"/>
  <c r="I2" i="18"/>
  <c r="H2" i="18"/>
  <c r="G2" i="18"/>
  <c r="F2" i="18"/>
  <c r="E2" i="18"/>
  <c r="D2" i="18"/>
  <c r="C2" i="18"/>
  <c r="B2" i="18"/>
  <c r="H14" i="18"/>
  <c r="I14" i="18" s="1"/>
  <c r="G14" i="18"/>
  <c r="F14" i="18"/>
  <c r="E14" i="18"/>
  <c r="D14" i="18"/>
  <c r="C14" i="18"/>
  <c r="B14" i="18"/>
  <c r="H13" i="18"/>
  <c r="I13" i="18" s="1"/>
  <c r="G13" i="18"/>
  <c r="F13" i="18"/>
  <c r="E13" i="18"/>
  <c r="D13" i="18"/>
  <c r="C13" i="18"/>
  <c r="B13" i="18"/>
  <c r="H12" i="18"/>
  <c r="I12" i="18" s="1"/>
  <c r="G12" i="18"/>
  <c r="F12" i="18"/>
  <c r="E12" i="18"/>
  <c r="D12" i="18"/>
  <c r="C12" i="18"/>
  <c r="B12" i="18"/>
  <c r="H11" i="18"/>
  <c r="I11" i="18" s="1"/>
  <c r="G11" i="18"/>
  <c r="F11" i="18"/>
  <c r="E11" i="18"/>
  <c r="D11" i="18"/>
  <c r="C11" i="18"/>
  <c r="B11" i="18"/>
  <c r="H36" i="10"/>
  <c r="G36" i="10"/>
  <c r="F36" i="10"/>
  <c r="E36" i="10"/>
  <c r="D36" i="10"/>
  <c r="C36" i="10"/>
  <c r="B36" i="10"/>
  <c r="B35" i="10"/>
  <c r="H30" i="10"/>
  <c r="G30" i="10"/>
  <c r="F30" i="10"/>
  <c r="E30" i="10"/>
  <c r="D30" i="10"/>
  <c r="C30" i="10"/>
  <c r="B30" i="10"/>
  <c r="B29" i="10"/>
  <c r="H24" i="10"/>
  <c r="G24" i="10"/>
  <c r="F24" i="10"/>
  <c r="E24" i="10"/>
  <c r="D24" i="10"/>
  <c r="C24" i="10"/>
  <c r="B24" i="10"/>
  <c r="B23" i="10"/>
  <c r="H18" i="10"/>
  <c r="G18" i="10"/>
  <c r="F18" i="10"/>
  <c r="E18" i="10"/>
  <c r="D18" i="10"/>
  <c r="C18" i="10"/>
  <c r="B18" i="10"/>
  <c r="B17" i="10"/>
  <c r="H12" i="10"/>
  <c r="G12" i="10"/>
  <c r="F12" i="10"/>
  <c r="E12" i="10"/>
  <c r="D12" i="10"/>
  <c r="C12" i="10"/>
  <c r="B12" i="10"/>
  <c r="B11" i="10"/>
  <c r="H6" i="10"/>
  <c r="I6" i="10" s="1"/>
  <c r="G6" i="10"/>
  <c r="F6" i="10"/>
  <c r="E6" i="10"/>
  <c r="D6" i="10"/>
  <c r="C6" i="10"/>
  <c r="B6" i="10"/>
  <c r="B5" i="10"/>
  <c r="I12" i="10"/>
  <c r="H31" i="2"/>
  <c r="G31" i="2"/>
  <c r="F31" i="2"/>
  <c r="E31" i="2"/>
  <c r="D31" i="2"/>
  <c r="C31" i="2"/>
  <c r="B31" i="2"/>
  <c r="B30" i="2"/>
  <c r="H26" i="2"/>
  <c r="G26" i="2"/>
  <c r="F26" i="2"/>
  <c r="E26" i="2"/>
  <c r="D26" i="2"/>
  <c r="C26" i="2"/>
  <c r="B26" i="2"/>
  <c r="B25" i="2"/>
  <c r="H21" i="2"/>
  <c r="G21" i="2"/>
  <c r="F21" i="2"/>
  <c r="E21" i="2"/>
  <c r="D21" i="2"/>
  <c r="C21" i="2"/>
  <c r="B21" i="2"/>
  <c r="B20" i="2"/>
  <c r="H16" i="2"/>
  <c r="I16" i="2" s="1"/>
  <c r="G16" i="2"/>
  <c r="F16" i="2"/>
  <c r="E16" i="2"/>
  <c r="D16" i="2"/>
  <c r="C16" i="2"/>
  <c r="B16" i="2"/>
  <c r="B15" i="2"/>
  <c r="H11" i="2"/>
  <c r="I11" i="2" s="1"/>
  <c r="G11" i="2"/>
  <c r="F11" i="2"/>
  <c r="E11" i="2"/>
  <c r="D11" i="2"/>
  <c r="C11" i="2"/>
  <c r="B11" i="2"/>
  <c r="B10" i="2"/>
  <c r="I31" i="2"/>
  <c r="I26" i="2"/>
  <c r="I21" i="2"/>
  <c r="H6" i="2"/>
  <c r="I6" i="2" s="1"/>
  <c r="G6" i="2"/>
  <c r="F6" i="2"/>
  <c r="E6" i="2"/>
  <c r="D6" i="2"/>
  <c r="C6" i="2"/>
  <c r="B6" i="2"/>
  <c r="B5" i="2"/>
  <c r="H35" i="10"/>
  <c r="I35" i="10" s="1"/>
  <c r="G35" i="10"/>
  <c r="F35" i="10"/>
  <c r="E35" i="10"/>
  <c r="D35" i="10"/>
  <c r="C35" i="10"/>
  <c r="H29" i="10"/>
  <c r="I29" i="10" s="1"/>
  <c r="G29" i="10"/>
  <c r="F29" i="10"/>
  <c r="E29" i="10"/>
  <c r="D29" i="10"/>
  <c r="C29" i="10"/>
  <c r="H23" i="10"/>
  <c r="I23" i="10" s="1"/>
  <c r="G23" i="10"/>
  <c r="F23" i="10"/>
  <c r="E23" i="10"/>
  <c r="D23" i="10"/>
  <c r="C23" i="10"/>
  <c r="H17" i="10"/>
  <c r="I17" i="10" s="1"/>
  <c r="G17" i="10"/>
  <c r="F17" i="10"/>
  <c r="E17" i="10"/>
  <c r="D17" i="10"/>
  <c r="C17" i="10"/>
  <c r="H11" i="10"/>
  <c r="I11" i="10" s="1"/>
  <c r="G11" i="10"/>
  <c r="F11" i="10"/>
  <c r="E11" i="10"/>
  <c r="D11" i="10"/>
  <c r="C11" i="10"/>
  <c r="H5" i="10"/>
  <c r="I5" i="10" s="1"/>
  <c r="G5" i="10"/>
  <c r="F5" i="10"/>
  <c r="E5" i="10"/>
  <c r="D5" i="10"/>
  <c r="C5" i="10"/>
  <c r="H30" i="2"/>
  <c r="I30" i="2" s="1"/>
  <c r="G30" i="2"/>
  <c r="F30" i="2"/>
  <c r="E30" i="2"/>
  <c r="D30" i="2"/>
  <c r="C30" i="2"/>
  <c r="H25" i="2"/>
  <c r="I25" i="2" s="1"/>
  <c r="G25" i="2"/>
  <c r="F25" i="2"/>
  <c r="E25" i="2"/>
  <c r="D25" i="2"/>
  <c r="C25" i="2"/>
  <c r="H20" i="2"/>
  <c r="I20" i="2" s="1"/>
  <c r="G20" i="2"/>
  <c r="F20" i="2"/>
  <c r="E20" i="2"/>
  <c r="D20" i="2"/>
  <c r="C20" i="2"/>
  <c r="H15" i="2"/>
  <c r="I15" i="2" s="1"/>
  <c r="G15" i="2"/>
  <c r="F15" i="2"/>
  <c r="E15" i="2"/>
  <c r="D15" i="2"/>
  <c r="C15" i="2"/>
  <c r="H10" i="2"/>
  <c r="I10" i="2" s="1"/>
  <c r="G10" i="2"/>
  <c r="F10" i="2"/>
  <c r="E10" i="2"/>
  <c r="D10" i="2"/>
  <c r="C10" i="2"/>
  <c r="H5" i="2"/>
  <c r="I5" i="2" s="1"/>
  <c r="G5" i="2"/>
  <c r="F5" i="2"/>
  <c r="E5" i="2"/>
  <c r="D5" i="2"/>
  <c r="C5" i="2"/>
  <c r="H33" i="10"/>
  <c r="I33" i="10" s="1"/>
  <c r="G33" i="10"/>
  <c r="F33" i="10"/>
  <c r="E33" i="10"/>
  <c r="D33" i="10"/>
  <c r="C33" i="10"/>
  <c r="B33" i="10"/>
  <c r="H27" i="10"/>
  <c r="I27" i="10" s="1"/>
  <c r="G27" i="10"/>
  <c r="F27" i="10"/>
  <c r="E27" i="10"/>
  <c r="D27" i="10"/>
  <c r="C27" i="10"/>
  <c r="B27" i="10"/>
  <c r="H21" i="10"/>
  <c r="I21" i="10" s="1"/>
  <c r="G21" i="10"/>
  <c r="F21" i="10"/>
  <c r="E21" i="10"/>
  <c r="D21" i="10"/>
  <c r="C21" i="10"/>
  <c r="B21" i="10"/>
  <c r="H15" i="10"/>
  <c r="I15" i="10" s="1"/>
  <c r="G15" i="10"/>
  <c r="F15" i="10"/>
  <c r="E15" i="10"/>
  <c r="D15" i="10"/>
  <c r="C15" i="10"/>
  <c r="B15" i="10"/>
  <c r="H9" i="10"/>
  <c r="I9" i="10" s="1"/>
  <c r="G9" i="10"/>
  <c r="F9" i="10"/>
  <c r="E9" i="10"/>
  <c r="D9" i="10"/>
  <c r="C9" i="10"/>
  <c r="B9" i="10"/>
  <c r="H3" i="10"/>
  <c r="I3" i="10" s="1"/>
  <c r="G3" i="10"/>
  <c r="F3" i="10"/>
  <c r="E3" i="10"/>
  <c r="D3" i="10"/>
  <c r="C3" i="10"/>
  <c r="B3" i="10"/>
  <c r="H28" i="2"/>
  <c r="I28" i="2" s="1"/>
  <c r="G28" i="2"/>
  <c r="F28" i="2"/>
  <c r="E28" i="2"/>
  <c r="D28" i="2"/>
  <c r="C28" i="2"/>
  <c r="B28" i="2"/>
  <c r="H23" i="2"/>
  <c r="I23" i="2" s="1"/>
  <c r="G23" i="2"/>
  <c r="F23" i="2"/>
  <c r="E23" i="2"/>
  <c r="D23" i="2"/>
  <c r="C23" i="2"/>
  <c r="B23" i="2"/>
  <c r="H18" i="2"/>
  <c r="I18" i="2" s="1"/>
  <c r="G18" i="2"/>
  <c r="F18" i="2"/>
  <c r="E18" i="2"/>
  <c r="D18" i="2"/>
  <c r="C18" i="2"/>
  <c r="B18" i="2"/>
  <c r="H13" i="2"/>
  <c r="I13" i="2" s="1"/>
  <c r="G13" i="2"/>
  <c r="F13" i="2"/>
  <c r="E13" i="2"/>
  <c r="D13" i="2"/>
  <c r="C13" i="2"/>
  <c r="B13" i="2"/>
  <c r="H8" i="2"/>
  <c r="I8" i="2" s="1"/>
  <c r="G8" i="2"/>
  <c r="F8" i="2"/>
  <c r="E8" i="2"/>
  <c r="D8" i="2"/>
  <c r="C8" i="2"/>
  <c r="B8" i="2"/>
  <c r="H3" i="2"/>
  <c r="I3" i="2" s="1"/>
  <c r="G3" i="2"/>
  <c r="F3" i="2"/>
  <c r="E3" i="2"/>
  <c r="D3" i="2"/>
  <c r="C3" i="2"/>
  <c r="B3" i="2"/>
  <c r="H34" i="10"/>
  <c r="I34" i="10" s="1"/>
  <c r="G34" i="10"/>
  <c r="F34" i="10"/>
  <c r="E34" i="10"/>
  <c r="D34" i="10"/>
  <c r="C34" i="10"/>
  <c r="B34" i="10"/>
  <c r="H28" i="10"/>
  <c r="I28" i="10" s="1"/>
  <c r="G28" i="10"/>
  <c r="F28" i="10"/>
  <c r="E28" i="10"/>
  <c r="D28" i="10"/>
  <c r="C28" i="10"/>
  <c r="B28" i="10"/>
  <c r="H22" i="10"/>
  <c r="I22" i="10" s="1"/>
  <c r="G22" i="10"/>
  <c r="F22" i="10"/>
  <c r="E22" i="10"/>
  <c r="D22" i="10"/>
  <c r="C22" i="10"/>
  <c r="B22" i="10"/>
  <c r="H16" i="10"/>
  <c r="I16" i="10" s="1"/>
  <c r="G16" i="10"/>
  <c r="F16" i="10"/>
  <c r="E16" i="10"/>
  <c r="D16" i="10"/>
  <c r="C16" i="10"/>
  <c r="B16" i="10"/>
  <c r="H10" i="10"/>
  <c r="I10" i="10" s="1"/>
  <c r="G10" i="10"/>
  <c r="F10" i="10"/>
  <c r="E10" i="10"/>
  <c r="D10" i="10"/>
  <c r="C10" i="10"/>
  <c r="B10" i="10"/>
  <c r="H4" i="10"/>
  <c r="I4" i="10" s="1"/>
  <c r="G4" i="10"/>
  <c r="F4" i="10"/>
  <c r="E4" i="10"/>
  <c r="D4" i="10"/>
  <c r="C4" i="10"/>
  <c r="B4" i="10"/>
  <c r="H29" i="2"/>
  <c r="I29" i="2" s="1"/>
  <c r="G29" i="2"/>
  <c r="F29" i="2"/>
  <c r="E29" i="2"/>
  <c r="D29" i="2"/>
  <c r="C29" i="2"/>
  <c r="B29" i="2"/>
  <c r="H24" i="2"/>
  <c r="I24" i="2" s="1"/>
  <c r="G24" i="2"/>
  <c r="F24" i="2"/>
  <c r="E24" i="2"/>
  <c r="D24" i="2"/>
  <c r="C24" i="2"/>
  <c r="B24" i="2"/>
  <c r="H19" i="2"/>
  <c r="I19" i="2" s="1"/>
  <c r="G19" i="2"/>
  <c r="F19" i="2"/>
  <c r="E19" i="2"/>
  <c r="D19" i="2"/>
  <c r="C19" i="2"/>
  <c r="B19" i="2"/>
  <c r="H14" i="2"/>
  <c r="I14" i="2" s="1"/>
  <c r="G14" i="2"/>
  <c r="F14" i="2"/>
  <c r="E14" i="2"/>
  <c r="D14" i="2"/>
  <c r="C14" i="2"/>
  <c r="B14" i="2"/>
  <c r="H9" i="2"/>
  <c r="I9" i="2" s="1"/>
  <c r="G9" i="2"/>
  <c r="F9" i="2"/>
  <c r="E9" i="2"/>
  <c r="D9" i="2"/>
  <c r="C9" i="2"/>
  <c r="B9" i="2"/>
  <c r="H4" i="2"/>
  <c r="I4" i="2" s="1"/>
  <c r="G4" i="2"/>
  <c r="F4" i="2"/>
  <c r="E4" i="2"/>
  <c r="D4" i="2"/>
  <c r="C4" i="2"/>
  <c r="B4" i="2"/>
  <c r="H19" i="13"/>
  <c r="I19" i="13" s="1"/>
  <c r="G19" i="13"/>
  <c r="F19" i="13"/>
  <c r="E19" i="13"/>
  <c r="D19" i="13"/>
  <c r="C19" i="13"/>
  <c r="B19" i="13"/>
  <c r="H14" i="13"/>
  <c r="I14" i="13" s="1"/>
  <c r="G14" i="13"/>
  <c r="F14" i="13"/>
  <c r="E14" i="13"/>
  <c r="D14" i="13"/>
  <c r="C14" i="13"/>
  <c r="B14" i="13"/>
  <c r="H9" i="13"/>
  <c r="I9" i="13" s="1"/>
  <c r="G9" i="13"/>
  <c r="F9" i="13"/>
  <c r="E9" i="13"/>
  <c r="D9" i="13"/>
  <c r="C9" i="13"/>
  <c r="B9" i="13"/>
  <c r="H4" i="13"/>
  <c r="I4" i="13" s="1"/>
  <c r="G4" i="13"/>
  <c r="F4" i="13"/>
  <c r="E4" i="13"/>
  <c r="D4" i="13"/>
  <c r="C4" i="13"/>
  <c r="B4" i="13"/>
  <c r="H19" i="14"/>
  <c r="I19" i="14" s="1"/>
  <c r="G19" i="14"/>
  <c r="F19" i="14"/>
  <c r="E19" i="14"/>
  <c r="D19" i="14"/>
  <c r="C19" i="14"/>
  <c r="B19" i="14"/>
  <c r="H14" i="14"/>
  <c r="I14" i="14" s="1"/>
  <c r="G14" i="14"/>
  <c r="F14" i="14"/>
  <c r="E14" i="14"/>
  <c r="D14" i="14"/>
  <c r="C14" i="14"/>
  <c r="B14" i="14"/>
  <c r="H9" i="14"/>
  <c r="I9" i="14" s="1"/>
  <c r="G9" i="14"/>
  <c r="F9" i="14"/>
  <c r="E9" i="14"/>
  <c r="D9" i="14"/>
  <c r="C9" i="14"/>
  <c r="B9" i="14"/>
  <c r="H4" i="14"/>
  <c r="I4" i="14" s="1"/>
  <c r="G4" i="14"/>
  <c r="F4" i="14"/>
  <c r="E4" i="14"/>
  <c r="D4" i="14"/>
  <c r="C4" i="14"/>
  <c r="B4" i="14"/>
  <c r="H21" i="13"/>
  <c r="I21" i="13" s="1"/>
  <c r="G21" i="13"/>
  <c r="F21" i="13"/>
  <c r="E21" i="13"/>
  <c r="D21" i="13"/>
  <c r="C21" i="13"/>
  <c r="B21" i="13"/>
  <c r="H16" i="13"/>
  <c r="I16" i="13" s="1"/>
  <c r="G16" i="13"/>
  <c r="F16" i="13"/>
  <c r="E16" i="13"/>
  <c r="D16" i="13"/>
  <c r="C16" i="13"/>
  <c r="B16" i="13"/>
  <c r="H11" i="13"/>
  <c r="I11" i="13" s="1"/>
  <c r="G11" i="13"/>
  <c r="F11" i="13"/>
  <c r="E11" i="13"/>
  <c r="D11" i="13"/>
  <c r="C11" i="13"/>
  <c r="B11" i="13"/>
  <c r="H6" i="13"/>
  <c r="I6" i="13" s="1"/>
  <c r="G6" i="13"/>
  <c r="F6" i="13"/>
  <c r="E6" i="13"/>
  <c r="D6" i="13"/>
  <c r="C6" i="13"/>
  <c r="B6" i="13"/>
  <c r="H21" i="14"/>
  <c r="I21" i="14" s="1"/>
  <c r="G21" i="14"/>
  <c r="F21" i="14"/>
  <c r="E21" i="14"/>
  <c r="D21" i="14"/>
  <c r="C21" i="14"/>
  <c r="B21" i="14"/>
  <c r="H16" i="14"/>
  <c r="I16" i="14" s="1"/>
  <c r="G16" i="14"/>
  <c r="F16" i="14"/>
  <c r="E16" i="14"/>
  <c r="D16" i="14"/>
  <c r="C16" i="14"/>
  <c r="B16" i="14"/>
  <c r="H11" i="14"/>
  <c r="I11" i="14" s="1"/>
  <c r="G11" i="14"/>
  <c r="F11" i="14"/>
  <c r="E11" i="14"/>
  <c r="D11" i="14"/>
  <c r="C11" i="14"/>
  <c r="B11" i="14"/>
  <c r="H6" i="14"/>
  <c r="I6" i="14" s="1"/>
  <c r="G6" i="14"/>
  <c r="F6" i="14"/>
  <c r="E6" i="14"/>
  <c r="D6" i="14"/>
  <c r="C6" i="14"/>
  <c r="B6" i="14"/>
  <c r="H20" i="13"/>
  <c r="I20" i="13" s="1"/>
  <c r="G20" i="13"/>
  <c r="F20" i="13"/>
  <c r="E20" i="13"/>
  <c r="D20" i="13"/>
  <c r="C20" i="13"/>
  <c r="B20" i="13"/>
  <c r="H15" i="13"/>
  <c r="I15" i="13" s="1"/>
  <c r="G15" i="13"/>
  <c r="F15" i="13"/>
  <c r="E15" i="13"/>
  <c r="D15" i="13"/>
  <c r="C15" i="13"/>
  <c r="B15" i="13"/>
  <c r="H10" i="13"/>
  <c r="I10" i="13" s="1"/>
  <c r="G10" i="13"/>
  <c r="F10" i="13"/>
  <c r="E10" i="13"/>
  <c r="D10" i="13"/>
  <c r="C10" i="13"/>
  <c r="B10" i="13"/>
  <c r="H5" i="13"/>
  <c r="I5" i="13" s="1"/>
  <c r="G5" i="13"/>
  <c r="F5" i="13"/>
  <c r="E5" i="13"/>
  <c r="D5" i="13"/>
  <c r="C5" i="13"/>
  <c r="B5" i="13"/>
  <c r="H20" i="14"/>
  <c r="I20" i="14" s="1"/>
  <c r="G20" i="14"/>
  <c r="F20" i="14"/>
  <c r="E20" i="14"/>
  <c r="D20" i="14"/>
  <c r="C20" i="14"/>
  <c r="B20" i="14"/>
  <c r="H15" i="14"/>
  <c r="I15" i="14" s="1"/>
  <c r="G15" i="14"/>
  <c r="F15" i="14"/>
  <c r="E15" i="14"/>
  <c r="D15" i="14"/>
  <c r="C15" i="14"/>
  <c r="B15" i="14"/>
  <c r="H10" i="14"/>
  <c r="I10" i="14" s="1"/>
  <c r="G10" i="14"/>
  <c r="F10" i="14"/>
  <c r="E10" i="14"/>
  <c r="D10" i="14"/>
  <c r="C10" i="14"/>
  <c r="B10" i="14"/>
  <c r="H5" i="14"/>
  <c r="I5" i="14" s="1"/>
  <c r="G5" i="14"/>
  <c r="F5" i="14"/>
  <c r="E5" i="14"/>
  <c r="D5" i="14"/>
  <c r="C5" i="14"/>
  <c r="B5" i="14"/>
  <c r="E2" i="10"/>
  <c r="H18" i="13"/>
  <c r="I18" i="13" s="1"/>
  <c r="G18" i="13"/>
  <c r="F18" i="13"/>
  <c r="E18" i="13"/>
  <c r="D18" i="13"/>
  <c r="C18" i="13"/>
  <c r="B18" i="13"/>
  <c r="H13" i="13"/>
  <c r="I13" i="13" s="1"/>
  <c r="G13" i="13"/>
  <c r="F13" i="13"/>
  <c r="E13" i="13"/>
  <c r="D13" i="13"/>
  <c r="C13" i="13"/>
  <c r="B13" i="13"/>
  <c r="H8" i="13"/>
  <c r="I8" i="13" s="1"/>
  <c r="G8" i="13"/>
  <c r="F8" i="13"/>
  <c r="E8" i="13"/>
  <c r="D8" i="13"/>
  <c r="C8" i="13"/>
  <c r="B8" i="13"/>
  <c r="H3" i="13"/>
  <c r="I3" i="13" s="1"/>
  <c r="G3" i="13"/>
  <c r="F3" i="13"/>
  <c r="E3" i="13"/>
  <c r="D3" i="13"/>
  <c r="C3" i="13"/>
  <c r="B3" i="13"/>
  <c r="E2" i="13"/>
  <c r="E2" i="2"/>
  <c r="H18" i="14"/>
  <c r="I18" i="14" s="1"/>
  <c r="G18" i="14"/>
  <c r="F18" i="14"/>
  <c r="E18" i="14"/>
  <c r="D18" i="14"/>
  <c r="C18" i="14"/>
  <c r="B18" i="14"/>
  <c r="H13" i="14"/>
  <c r="I13" i="14" s="1"/>
  <c r="G13" i="14"/>
  <c r="F13" i="14"/>
  <c r="E13" i="14"/>
  <c r="D13" i="14"/>
  <c r="C13" i="14"/>
  <c r="B13" i="14"/>
  <c r="H8" i="14"/>
  <c r="I8" i="14" s="1"/>
  <c r="G8" i="14"/>
  <c r="F8" i="14"/>
  <c r="E8" i="14"/>
  <c r="D8" i="14"/>
  <c r="C8" i="14"/>
  <c r="B8" i="14"/>
  <c r="H3" i="14"/>
  <c r="I3" i="14" s="1"/>
  <c r="G3" i="14"/>
  <c r="F3" i="14"/>
  <c r="E3" i="14"/>
  <c r="D3" i="14"/>
  <c r="C3" i="14"/>
  <c r="B3" i="14"/>
  <c r="E2" i="14"/>
  <c r="E65" i="14"/>
  <c r="D65" i="14"/>
  <c r="C65" i="14"/>
  <c r="B65" i="14"/>
  <c r="E64" i="14"/>
  <c r="D64" i="14"/>
  <c r="C64" i="14"/>
  <c r="B64" i="14"/>
  <c r="E63" i="14"/>
  <c r="D63" i="14"/>
  <c r="C63" i="14"/>
  <c r="B63" i="14"/>
  <c r="E62" i="14"/>
  <c r="D62" i="14"/>
  <c r="C62" i="14"/>
  <c r="B62" i="14"/>
  <c r="E61" i="14"/>
  <c r="D61" i="14"/>
  <c r="C61" i="14"/>
  <c r="B61" i="14"/>
  <c r="E60" i="14"/>
  <c r="D60" i="14"/>
  <c r="C60" i="14"/>
  <c r="B60" i="14"/>
  <c r="E59" i="14"/>
  <c r="D59" i="14"/>
  <c r="C59" i="14"/>
  <c r="B59" i="14"/>
  <c r="E58" i="14"/>
  <c r="D58" i="14"/>
  <c r="C58" i="14"/>
  <c r="B58" i="14"/>
  <c r="B47" i="14"/>
  <c r="E54" i="14"/>
  <c r="D54" i="14"/>
  <c r="C54" i="14"/>
  <c r="B54" i="14"/>
  <c r="E53" i="14"/>
  <c r="D53" i="14"/>
  <c r="C53" i="14"/>
  <c r="B53" i="14"/>
  <c r="E52" i="14"/>
  <c r="D52" i="14"/>
  <c r="C52" i="14"/>
  <c r="B52" i="14"/>
  <c r="E51" i="14"/>
  <c r="D51" i="14"/>
  <c r="C51" i="14"/>
  <c r="B51" i="14"/>
  <c r="E50" i="14"/>
  <c r="D50" i="14"/>
  <c r="C50" i="14"/>
  <c r="B50" i="14"/>
  <c r="E49" i="14"/>
  <c r="D49" i="14"/>
  <c r="C49" i="14"/>
  <c r="B49" i="14"/>
  <c r="E48" i="14"/>
  <c r="D48" i="14"/>
  <c r="C48" i="14"/>
  <c r="B48" i="14"/>
  <c r="E47" i="14"/>
  <c r="D47" i="14"/>
  <c r="C47" i="14"/>
  <c r="E43" i="14"/>
  <c r="D43" i="14"/>
  <c r="C43" i="14"/>
  <c r="B43" i="14"/>
  <c r="E42" i="14"/>
  <c r="D42" i="14"/>
  <c r="C42" i="14"/>
  <c r="B42" i="14"/>
  <c r="E41" i="14"/>
  <c r="D41" i="14"/>
  <c r="C41" i="14"/>
  <c r="B41" i="14"/>
  <c r="E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E36" i="14"/>
  <c r="D36" i="14"/>
  <c r="C36" i="14"/>
  <c r="B36" i="14"/>
  <c r="B25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29" i="14"/>
  <c r="D29" i="14"/>
  <c r="C29" i="14"/>
  <c r="B29" i="14"/>
  <c r="E28" i="14"/>
  <c r="D28" i="14"/>
  <c r="C28" i="14"/>
  <c r="B28" i="14"/>
  <c r="E27" i="14"/>
  <c r="D27" i="14"/>
  <c r="C27" i="14"/>
  <c r="B27" i="14"/>
  <c r="E26" i="14"/>
  <c r="D26" i="14"/>
  <c r="C26" i="14"/>
  <c r="B26" i="14"/>
  <c r="E25" i="14"/>
  <c r="D25" i="14"/>
  <c r="C25" i="14"/>
  <c r="H3" i="15"/>
  <c r="I3" i="15" s="1"/>
  <c r="H41" i="16"/>
  <c r="I41" i="16" s="1"/>
  <c r="I16" i="16" s="1"/>
  <c r="H16" i="16" s="1"/>
  <c r="G41" i="16"/>
  <c r="F41" i="16"/>
  <c r="E41" i="16"/>
  <c r="D41" i="16"/>
  <c r="C41" i="16"/>
  <c r="B41" i="16"/>
  <c r="H40" i="16"/>
  <c r="I40" i="16" s="1"/>
  <c r="I15" i="16" s="1"/>
  <c r="H15" i="16" s="1"/>
  <c r="G40" i="16"/>
  <c r="F40" i="16"/>
  <c r="E40" i="16"/>
  <c r="D40" i="16"/>
  <c r="C40" i="16"/>
  <c r="B40" i="16"/>
  <c r="H39" i="16"/>
  <c r="I39" i="16" s="1"/>
  <c r="I14" i="16" s="1"/>
  <c r="H14" i="16" s="1"/>
  <c r="G39" i="16"/>
  <c r="F39" i="16"/>
  <c r="E39" i="16"/>
  <c r="D39" i="16"/>
  <c r="C39" i="16"/>
  <c r="B39" i="16"/>
  <c r="H38" i="16"/>
  <c r="I38" i="16" s="1"/>
  <c r="I13" i="16" s="1"/>
  <c r="H13" i="16" s="1"/>
  <c r="G38" i="16"/>
  <c r="F38" i="16"/>
  <c r="E38" i="16"/>
  <c r="D38" i="16"/>
  <c r="C38" i="16"/>
  <c r="B38" i="16"/>
  <c r="B31" i="16"/>
  <c r="H34" i="16"/>
  <c r="I34" i="16" s="1"/>
  <c r="I11" i="16" s="1"/>
  <c r="H11" i="16" s="1"/>
  <c r="G34" i="16"/>
  <c r="F34" i="16"/>
  <c r="E34" i="16"/>
  <c r="D34" i="16"/>
  <c r="C34" i="16"/>
  <c r="B34" i="16"/>
  <c r="H33" i="16"/>
  <c r="I33" i="16" s="1"/>
  <c r="I10" i="16" s="1"/>
  <c r="H10" i="16" s="1"/>
  <c r="G33" i="16"/>
  <c r="F33" i="16"/>
  <c r="E33" i="16"/>
  <c r="D33" i="16"/>
  <c r="C33" i="16"/>
  <c r="B33" i="16"/>
  <c r="H32" i="16"/>
  <c r="I32" i="16" s="1"/>
  <c r="I9" i="16" s="1"/>
  <c r="H9" i="16" s="1"/>
  <c r="G32" i="16"/>
  <c r="F32" i="16"/>
  <c r="E32" i="16"/>
  <c r="D32" i="16"/>
  <c r="C32" i="16"/>
  <c r="B32" i="16"/>
  <c r="H31" i="16"/>
  <c r="I31" i="16" s="1"/>
  <c r="I8" i="16" s="1"/>
  <c r="H8" i="16" s="1"/>
  <c r="G31" i="16"/>
  <c r="F31" i="16"/>
  <c r="E31" i="16"/>
  <c r="D31" i="16"/>
  <c r="C31" i="16"/>
  <c r="H47" i="16"/>
  <c r="I47" i="16" s="1"/>
  <c r="I21" i="16" s="1"/>
  <c r="H21" i="16" s="1"/>
  <c r="G47" i="16"/>
  <c r="F47" i="16"/>
  <c r="E47" i="16"/>
  <c r="D47" i="16"/>
  <c r="C47" i="16"/>
  <c r="B47" i="16"/>
  <c r="H46" i="16"/>
  <c r="I46" i="16" s="1"/>
  <c r="I20" i="16" s="1"/>
  <c r="H20" i="16" s="1"/>
  <c r="G46" i="16"/>
  <c r="F46" i="16"/>
  <c r="E46" i="16"/>
  <c r="D46" i="16"/>
  <c r="C46" i="16"/>
  <c r="B46" i="16"/>
  <c r="H45" i="16"/>
  <c r="I45" i="16" s="1"/>
  <c r="I19" i="16" s="1"/>
  <c r="H19" i="16" s="1"/>
  <c r="G45" i="16"/>
  <c r="F45" i="16"/>
  <c r="E45" i="16"/>
  <c r="D45" i="16"/>
  <c r="C45" i="16"/>
  <c r="B45" i="16"/>
  <c r="H44" i="16"/>
  <c r="I44" i="16" s="1"/>
  <c r="I18" i="16" s="1"/>
  <c r="H18" i="16" s="1"/>
  <c r="G44" i="16"/>
  <c r="F44" i="16"/>
  <c r="E44" i="16"/>
  <c r="D44" i="16"/>
  <c r="C44" i="16"/>
  <c r="B44" i="16"/>
  <c r="H29" i="15"/>
  <c r="I29" i="15" s="1"/>
  <c r="G29" i="15"/>
  <c r="F29" i="15"/>
  <c r="E29" i="15"/>
  <c r="D29" i="15"/>
  <c r="C29" i="15"/>
  <c r="B29" i="15"/>
  <c r="H24" i="15"/>
  <c r="I24" i="15" s="1"/>
  <c r="G24" i="15"/>
  <c r="F24" i="15"/>
  <c r="E24" i="15"/>
  <c r="D24" i="15"/>
  <c r="C24" i="15"/>
  <c r="B24" i="15"/>
  <c r="H19" i="15"/>
  <c r="I19" i="15" s="1"/>
  <c r="G19" i="15"/>
  <c r="F19" i="15"/>
  <c r="E19" i="15"/>
  <c r="D19" i="15"/>
  <c r="C19" i="15"/>
  <c r="B19" i="15"/>
  <c r="H14" i="15"/>
  <c r="I14" i="15" s="1"/>
  <c r="G14" i="15"/>
  <c r="F14" i="15"/>
  <c r="E14" i="15"/>
  <c r="D14" i="15"/>
  <c r="C14" i="15"/>
  <c r="B14" i="15"/>
  <c r="H9" i="15"/>
  <c r="I9" i="15" s="1"/>
  <c r="G9" i="15"/>
  <c r="F9" i="15"/>
  <c r="E9" i="15"/>
  <c r="D9" i="15"/>
  <c r="C9" i="15"/>
  <c r="B9" i="15"/>
  <c r="H4" i="15"/>
  <c r="I4" i="15" s="1"/>
  <c r="G4" i="15"/>
  <c r="F4" i="15"/>
  <c r="E4" i="15"/>
  <c r="D4" i="15"/>
  <c r="C4" i="15"/>
  <c r="B4" i="15"/>
  <c r="H31" i="15"/>
  <c r="I31" i="15" s="1"/>
  <c r="G31" i="15"/>
  <c r="F31" i="15"/>
  <c r="E31" i="15"/>
  <c r="D31" i="15"/>
  <c r="C31" i="15"/>
  <c r="B31" i="15"/>
  <c r="H26" i="15"/>
  <c r="I26" i="15" s="1"/>
  <c r="G26" i="15"/>
  <c r="F26" i="15"/>
  <c r="E26" i="15"/>
  <c r="D26" i="15"/>
  <c r="C26" i="15"/>
  <c r="B26" i="15"/>
  <c r="H21" i="15"/>
  <c r="I21" i="15" s="1"/>
  <c r="G21" i="15"/>
  <c r="F21" i="15"/>
  <c r="E21" i="15"/>
  <c r="D21" i="15"/>
  <c r="C21" i="15"/>
  <c r="B21" i="15"/>
  <c r="H16" i="15"/>
  <c r="I16" i="15" s="1"/>
  <c r="G16" i="15"/>
  <c r="F16" i="15"/>
  <c r="E16" i="15"/>
  <c r="D16" i="15"/>
  <c r="C16" i="15"/>
  <c r="B16" i="15"/>
  <c r="H11" i="15"/>
  <c r="I11" i="15" s="1"/>
  <c r="G11" i="15"/>
  <c r="F11" i="15"/>
  <c r="E11" i="15"/>
  <c r="D11" i="15"/>
  <c r="C11" i="15"/>
  <c r="B11" i="15"/>
  <c r="H6" i="15"/>
  <c r="I6" i="15" s="1"/>
  <c r="G6" i="15"/>
  <c r="F6" i="15"/>
  <c r="E6" i="15"/>
  <c r="D6" i="15"/>
  <c r="C6" i="15"/>
  <c r="B6" i="15"/>
  <c r="H30" i="15"/>
  <c r="I30" i="15" s="1"/>
  <c r="G30" i="15"/>
  <c r="F30" i="15"/>
  <c r="E30" i="15"/>
  <c r="D30" i="15"/>
  <c r="C30" i="15"/>
  <c r="B30" i="15"/>
  <c r="H25" i="15"/>
  <c r="I25" i="15" s="1"/>
  <c r="G25" i="15"/>
  <c r="F25" i="15"/>
  <c r="E25" i="15"/>
  <c r="D25" i="15"/>
  <c r="C25" i="15"/>
  <c r="B25" i="15"/>
  <c r="H20" i="15"/>
  <c r="I20" i="15" s="1"/>
  <c r="G20" i="15"/>
  <c r="F20" i="15"/>
  <c r="E20" i="15"/>
  <c r="D20" i="15"/>
  <c r="C20" i="15"/>
  <c r="B20" i="15"/>
  <c r="H15" i="15"/>
  <c r="I15" i="15" s="1"/>
  <c r="G15" i="15"/>
  <c r="F15" i="15"/>
  <c r="E15" i="15"/>
  <c r="D15" i="15"/>
  <c r="C15" i="15"/>
  <c r="B15" i="15"/>
  <c r="H10" i="15"/>
  <c r="I10" i="15" s="1"/>
  <c r="G10" i="15"/>
  <c r="F10" i="15"/>
  <c r="E10" i="15"/>
  <c r="D10" i="15"/>
  <c r="C10" i="15"/>
  <c r="B10" i="15"/>
  <c r="H5" i="15"/>
  <c r="I5" i="15" s="1"/>
  <c r="G5" i="15"/>
  <c r="F5" i="15"/>
  <c r="E5" i="15"/>
  <c r="D5" i="15"/>
  <c r="C5" i="15"/>
  <c r="B5" i="15"/>
  <c r="H28" i="15"/>
  <c r="I28" i="15" s="1"/>
  <c r="G28" i="15"/>
  <c r="F28" i="15"/>
  <c r="E28" i="15"/>
  <c r="D28" i="15"/>
  <c r="C28" i="15"/>
  <c r="B28" i="15"/>
  <c r="H23" i="15"/>
  <c r="I23" i="15" s="1"/>
  <c r="G23" i="15"/>
  <c r="F23" i="15"/>
  <c r="E23" i="15"/>
  <c r="D23" i="15"/>
  <c r="C23" i="15"/>
  <c r="B23" i="15"/>
  <c r="H18" i="15"/>
  <c r="I18" i="15" s="1"/>
  <c r="G18" i="15"/>
  <c r="F18" i="15"/>
  <c r="E18" i="15"/>
  <c r="D18" i="15"/>
  <c r="C18" i="15"/>
  <c r="B18" i="15"/>
  <c r="H13" i="15"/>
  <c r="I13" i="15" s="1"/>
  <c r="G13" i="15"/>
  <c r="F13" i="15"/>
  <c r="E13" i="15"/>
  <c r="D13" i="15"/>
  <c r="C13" i="15"/>
  <c r="B13" i="15"/>
  <c r="H8" i="15"/>
  <c r="I8" i="15" s="1"/>
  <c r="G8" i="15"/>
  <c r="F8" i="15"/>
  <c r="E8" i="15"/>
  <c r="D8" i="15"/>
  <c r="C8" i="15"/>
  <c r="B8" i="15"/>
  <c r="G3" i="15"/>
  <c r="F3" i="15"/>
  <c r="E3" i="15"/>
  <c r="D3" i="15"/>
  <c r="C3" i="15"/>
  <c r="B3" i="15"/>
  <c r="H28" i="16"/>
  <c r="I28" i="16" s="1"/>
  <c r="I6" i="16" s="1"/>
  <c r="H6" i="16" s="1"/>
  <c r="G28" i="16"/>
  <c r="F28" i="16"/>
  <c r="E28" i="16"/>
  <c r="D28" i="16"/>
  <c r="C28" i="16"/>
  <c r="B28" i="16"/>
  <c r="H27" i="16"/>
  <c r="I27" i="16" s="1"/>
  <c r="I5" i="16" s="1"/>
  <c r="H5" i="16" s="1"/>
  <c r="G27" i="16"/>
  <c r="F27" i="16"/>
  <c r="E27" i="16"/>
  <c r="D27" i="16"/>
  <c r="C27" i="16"/>
  <c r="B27" i="16"/>
  <c r="H26" i="16"/>
  <c r="I26" i="16" s="1"/>
  <c r="I4" i="16" s="1"/>
  <c r="H4" i="16" s="1"/>
  <c r="G26" i="16"/>
  <c r="F26" i="16"/>
  <c r="E26" i="16"/>
  <c r="D26" i="16"/>
  <c r="C26" i="16"/>
  <c r="B26" i="16"/>
  <c r="H25" i="16"/>
  <c r="I25" i="16" s="1"/>
  <c r="I3" i="16" s="1"/>
  <c r="H3" i="16" s="1"/>
  <c r="G25" i="16"/>
  <c r="F25" i="16"/>
  <c r="E25" i="16"/>
  <c r="D25" i="16"/>
  <c r="C25" i="16"/>
  <c r="B25" i="16"/>
  <c r="J20" i="22"/>
  <c r="I19" i="22"/>
  <c r="J19" i="22" s="1"/>
  <c r="H19" i="22"/>
  <c r="G19" i="22"/>
  <c r="F19" i="22"/>
  <c r="E19" i="22"/>
  <c r="D19" i="22"/>
  <c r="C19" i="22"/>
  <c r="I18" i="22"/>
  <c r="J18" i="22" s="1"/>
  <c r="H18" i="22"/>
  <c r="G18" i="22"/>
  <c r="F18" i="22"/>
  <c r="E18" i="22"/>
  <c r="D18" i="22"/>
  <c r="C18" i="22"/>
  <c r="I17" i="22"/>
  <c r="J17" i="22" s="1"/>
  <c r="H17" i="22"/>
  <c r="G17" i="22"/>
  <c r="F17" i="22"/>
  <c r="E17" i="22"/>
  <c r="D17" i="22"/>
  <c r="C17" i="22"/>
  <c r="I16" i="22"/>
  <c r="J16" i="22" s="1"/>
  <c r="H16" i="22"/>
  <c r="G16" i="22"/>
  <c r="F16" i="22"/>
  <c r="E16" i="22"/>
  <c r="D16" i="22"/>
  <c r="C16" i="22"/>
  <c r="I15" i="22"/>
  <c r="J15" i="22" s="1"/>
  <c r="H15" i="22"/>
  <c r="G15" i="22"/>
  <c r="F15" i="22"/>
  <c r="E15" i="22"/>
  <c r="D15" i="22"/>
  <c r="C15" i="22"/>
  <c r="I14" i="22"/>
  <c r="J14" i="22" s="1"/>
  <c r="H14" i="22"/>
  <c r="G14" i="22"/>
  <c r="F14" i="22"/>
  <c r="E14" i="22"/>
  <c r="D14" i="22"/>
  <c r="C14" i="22"/>
  <c r="I9" i="22"/>
  <c r="J9" i="22" s="1"/>
  <c r="H9" i="22"/>
  <c r="G9" i="22"/>
  <c r="F9" i="22"/>
  <c r="E9" i="22"/>
  <c r="D9" i="22"/>
  <c r="C9" i="22"/>
  <c r="K9" i="22" s="1"/>
  <c r="I8" i="22"/>
  <c r="J8" i="22" s="1"/>
  <c r="H8" i="22"/>
  <c r="G8" i="22"/>
  <c r="F8" i="22"/>
  <c r="E8" i="22"/>
  <c r="D8" i="22"/>
  <c r="C8" i="22"/>
  <c r="I7" i="22"/>
  <c r="J7" i="22" s="1"/>
  <c r="H7" i="22"/>
  <c r="G7" i="22"/>
  <c r="F7" i="22"/>
  <c r="E7" i="22"/>
  <c r="D7" i="22"/>
  <c r="C7" i="22"/>
  <c r="I6" i="22"/>
  <c r="J6" i="22" s="1"/>
  <c r="H6" i="22"/>
  <c r="G6" i="22"/>
  <c r="F6" i="22"/>
  <c r="E6" i="22"/>
  <c r="D6" i="22"/>
  <c r="C6" i="22"/>
  <c r="I5" i="22"/>
  <c r="J5" i="22" s="1"/>
  <c r="H5" i="22"/>
  <c r="G5" i="22"/>
  <c r="F5" i="22"/>
  <c r="E5" i="22"/>
  <c r="D5" i="22"/>
  <c r="C5" i="22"/>
  <c r="I4" i="22"/>
  <c r="J4" i="22" s="1"/>
  <c r="H4" i="22"/>
  <c r="G4" i="22"/>
  <c r="F4" i="22"/>
  <c r="E4" i="22"/>
  <c r="D4" i="22"/>
  <c r="C4" i="22"/>
  <c r="I3" i="22"/>
  <c r="J3" i="22" s="1"/>
  <c r="H3" i="22"/>
  <c r="G3" i="22"/>
  <c r="F3" i="22"/>
  <c r="E3" i="22"/>
  <c r="D3" i="22"/>
  <c r="C3" i="22"/>
  <c r="K3" i="22" s="1"/>
  <c r="I20" i="19"/>
  <c r="J20" i="19" s="1"/>
  <c r="H20" i="19"/>
  <c r="G20" i="19"/>
  <c r="F20" i="19"/>
  <c r="E20" i="19"/>
  <c r="D20" i="19"/>
  <c r="I19" i="19"/>
  <c r="H19" i="19"/>
  <c r="G19" i="19"/>
  <c r="F19" i="19"/>
  <c r="E19" i="19"/>
  <c r="D19" i="19"/>
  <c r="C19" i="19"/>
  <c r="L19" i="22" s="1"/>
  <c r="I18" i="19"/>
  <c r="H18" i="19"/>
  <c r="G18" i="19"/>
  <c r="F18" i="19"/>
  <c r="E18" i="19"/>
  <c r="D18" i="19"/>
  <c r="C18" i="19"/>
  <c r="L18" i="22" s="1"/>
  <c r="I17" i="19"/>
  <c r="H17" i="19"/>
  <c r="G17" i="19"/>
  <c r="F17" i="19"/>
  <c r="E17" i="19"/>
  <c r="D17" i="19"/>
  <c r="C17" i="19"/>
  <c r="L17" i="22" s="1"/>
  <c r="I16" i="19"/>
  <c r="H16" i="19"/>
  <c r="G16" i="19"/>
  <c r="F16" i="19"/>
  <c r="E16" i="19"/>
  <c r="D16" i="19"/>
  <c r="C16" i="19"/>
  <c r="L16" i="22" s="1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8" i="19"/>
  <c r="J8" i="19" s="1"/>
  <c r="H8" i="19"/>
  <c r="G8" i="19"/>
  <c r="F8" i="19"/>
  <c r="D8" i="19"/>
  <c r="C8" i="19"/>
  <c r="I7" i="19"/>
  <c r="J7" i="19" s="1"/>
  <c r="H7" i="19"/>
  <c r="G7" i="19"/>
  <c r="F7" i="19"/>
  <c r="E7" i="19"/>
  <c r="D7" i="19"/>
  <c r="C7" i="19"/>
  <c r="I6" i="19"/>
  <c r="J6" i="19" s="1"/>
  <c r="H6" i="19"/>
  <c r="G6" i="19"/>
  <c r="F6" i="19"/>
  <c r="E6" i="19"/>
  <c r="D6" i="19"/>
  <c r="C6" i="19"/>
  <c r="I5" i="19"/>
  <c r="J5" i="19" s="1"/>
  <c r="H5" i="19"/>
  <c r="G5" i="19"/>
  <c r="F5" i="19"/>
  <c r="E5" i="19"/>
  <c r="D5" i="19"/>
  <c r="C5" i="19"/>
  <c r="I4" i="19"/>
  <c r="J4" i="19" s="1"/>
  <c r="H4" i="19"/>
  <c r="G4" i="19"/>
  <c r="F4" i="19"/>
  <c r="E4" i="19"/>
  <c r="D4" i="19"/>
  <c r="C4" i="19"/>
  <c r="I3" i="19"/>
  <c r="J3" i="19" s="1"/>
  <c r="H3" i="19"/>
  <c r="G3" i="19"/>
  <c r="F3" i="19"/>
  <c r="E3" i="19"/>
  <c r="D3" i="19"/>
  <c r="C3" i="19"/>
  <c r="H14" i="21"/>
  <c r="I14" i="21" s="1"/>
  <c r="G14" i="21"/>
  <c r="F14" i="21"/>
  <c r="E14" i="21"/>
  <c r="D14" i="21"/>
  <c r="C14" i="21"/>
  <c r="B14" i="21"/>
  <c r="H13" i="21"/>
  <c r="I13" i="21" s="1"/>
  <c r="G13" i="21"/>
  <c r="F13" i="21"/>
  <c r="E13" i="21"/>
  <c r="D13" i="21"/>
  <c r="C13" i="21"/>
  <c r="B13" i="21"/>
  <c r="H12" i="21"/>
  <c r="I12" i="21" s="1"/>
  <c r="G12" i="21"/>
  <c r="F12" i="21"/>
  <c r="E12" i="21"/>
  <c r="D12" i="21"/>
  <c r="C12" i="21"/>
  <c r="B12" i="21"/>
  <c r="H11" i="21"/>
  <c r="I11" i="21" s="1"/>
  <c r="G11" i="21"/>
  <c r="F11" i="21"/>
  <c r="E11" i="21"/>
  <c r="D11" i="21"/>
  <c r="C11" i="21"/>
  <c r="B11" i="21"/>
  <c r="H6" i="21"/>
  <c r="I6" i="21" s="1"/>
  <c r="G6" i="21"/>
  <c r="F6" i="21"/>
  <c r="E6" i="21"/>
  <c r="D6" i="21"/>
  <c r="C6" i="21"/>
  <c r="B6" i="21"/>
  <c r="H5" i="21"/>
  <c r="I5" i="21" s="1"/>
  <c r="G5" i="21"/>
  <c r="F5" i="21"/>
  <c r="E5" i="21"/>
  <c r="D5" i="21"/>
  <c r="C5" i="21"/>
  <c r="B5" i="21"/>
  <c r="H4" i="21"/>
  <c r="I4" i="21" s="1"/>
  <c r="G4" i="21"/>
  <c r="F4" i="21"/>
  <c r="E4" i="21"/>
  <c r="D4" i="21"/>
  <c r="C4" i="21"/>
  <c r="B4" i="21"/>
  <c r="H3" i="21"/>
  <c r="I3" i="21" s="1"/>
  <c r="G3" i="21"/>
  <c r="F3" i="21"/>
  <c r="E3" i="21"/>
  <c r="D3" i="21"/>
  <c r="C3" i="21"/>
  <c r="B3" i="21"/>
  <c r="H6" i="18"/>
  <c r="I6" i="18" s="1"/>
  <c r="G6" i="18"/>
  <c r="F6" i="18"/>
  <c r="E6" i="18"/>
  <c r="D6" i="18"/>
  <c r="C6" i="18"/>
  <c r="B6" i="18"/>
  <c r="H5" i="18"/>
  <c r="I5" i="18" s="1"/>
  <c r="G5" i="18"/>
  <c r="F5" i="18"/>
  <c r="E5" i="18"/>
  <c r="D5" i="18"/>
  <c r="C5" i="18"/>
  <c r="B5" i="18"/>
  <c r="H4" i="18"/>
  <c r="I4" i="18" s="1"/>
  <c r="G4" i="18"/>
  <c r="F4" i="18"/>
  <c r="E4" i="18"/>
  <c r="D4" i="18"/>
  <c r="C4" i="18"/>
  <c r="B4" i="18"/>
  <c r="H3" i="18"/>
  <c r="I3" i="18" s="1"/>
  <c r="G3" i="18"/>
  <c r="F3" i="18"/>
  <c r="E3" i="18"/>
  <c r="D3" i="18"/>
  <c r="C3" i="18"/>
  <c r="B3" i="18"/>
  <c r="L14" i="22" l="1"/>
  <c r="L15" i="22"/>
  <c r="K16" i="22"/>
  <c r="K18" i="22"/>
  <c r="K4" i="22"/>
  <c r="K5" i="22"/>
  <c r="K15" i="22"/>
  <c r="K17" i="22"/>
  <c r="K19" i="22"/>
  <c r="K20" i="22"/>
  <c r="K20" i="19"/>
  <c r="K14" i="22"/>
  <c r="B10" i="19"/>
  <c r="K8" i="22"/>
  <c r="K6" i="22"/>
  <c r="B10" i="22"/>
  <c r="K7" i="22"/>
  <c r="B11" i="22"/>
  <c r="E10" i="22"/>
  <c r="B24" i="18"/>
  <c r="F33" i="20"/>
  <c r="F32" i="20"/>
  <c r="C33" i="20"/>
  <c r="C32" i="20"/>
  <c r="E23" i="18"/>
  <c r="D23" i="18"/>
  <c r="C23" i="18"/>
  <c r="B23" i="18"/>
  <c r="E23" i="21"/>
  <c r="D23" i="21"/>
  <c r="C23" i="21"/>
  <c r="B23" i="21"/>
  <c r="E24" i="18"/>
  <c r="B25" i="21"/>
  <c r="B24" i="21"/>
  <c r="D20" i="21"/>
  <c r="D19" i="21"/>
  <c r="B20" i="21"/>
  <c r="D24" i="21"/>
  <c r="E25" i="18"/>
  <c r="B25" i="18"/>
  <c r="C25" i="18"/>
  <c r="C24" i="18"/>
  <c r="B32" i="20"/>
  <c r="B33" i="20"/>
  <c r="E32" i="20"/>
  <c r="E33" i="20"/>
  <c r="E20" i="21"/>
  <c r="B16" i="21"/>
  <c r="E25" i="21"/>
  <c r="D25" i="21"/>
  <c r="C25" i="21"/>
  <c r="H8" i="10"/>
  <c r="H14" i="10" s="1"/>
  <c r="H20" i="10" s="1"/>
  <c r="H26" i="10" s="1"/>
  <c r="H32" i="10" s="1"/>
  <c r="G8" i="10"/>
  <c r="G14" i="10" s="1"/>
  <c r="G20" i="10" s="1"/>
  <c r="G26" i="10" s="1"/>
  <c r="G32" i="10" s="1"/>
  <c r="F8" i="10"/>
  <c r="F14" i="10" s="1"/>
  <c r="F20" i="10" s="1"/>
  <c r="F26" i="10" s="1"/>
  <c r="F32" i="10" s="1"/>
  <c r="D8" i="10"/>
  <c r="D14" i="10" s="1"/>
  <c r="D20" i="10" s="1"/>
  <c r="D26" i="10" s="1"/>
  <c r="D32" i="10" s="1"/>
  <c r="C8" i="10"/>
  <c r="C14" i="10" s="1"/>
  <c r="C20" i="10" s="1"/>
  <c r="C26" i="10" s="1"/>
  <c r="C32" i="10" s="1"/>
  <c r="B8" i="10"/>
  <c r="B14" i="10" s="1"/>
  <c r="B20" i="10" s="1"/>
  <c r="B26" i="10" s="1"/>
  <c r="B32" i="10" s="1"/>
  <c r="E8" i="10"/>
  <c r="E14" i="10" s="1"/>
  <c r="E20" i="10" s="1"/>
  <c r="E26" i="10" s="1"/>
  <c r="E32" i="10" s="1"/>
  <c r="I24" i="10"/>
  <c r="I30" i="10"/>
  <c r="B7" i="15"/>
  <c r="B12" i="15"/>
  <c r="B17" i="15"/>
  <c r="B22" i="15"/>
  <c r="B27" i="15"/>
  <c r="C17" i="15"/>
  <c r="D17" i="15"/>
  <c r="E17" i="15"/>
  <c r="F17" i="15"/>
  <c r="G17" i="15"/>
  <c r="H17" i="15"/>
  <c r="I17" i="15"/>
  <c r="C22" i="15"/>
  <c r="D22" i="15"/>
  <c r="E22" i="15"/>
  <c r="F22" i="15"/>
  <c r="G22" i="15"/>
  <c r="H22" i="15"/>
  <c r="I22" i="15"/>
  <c r="C27" i="15"/>
  <c r="D27" i="15"/>
  <c r="E27" i="15"/>
  <c r="F27" i="15"/>
  <c r="G27" i="15"/>
  <c r="H27" i="15"/>
  <c r="A7" i="16"/>
  <c r="C7" i="16"/>
  <c r="D7" i="16"/>
  <c r="E7" i="16"/>
  <c r="F7" i="16"/>
  <c r="G7" i="16"/>
  <c r="H7" i="16"/>
  <c r="I7" i="16"/>
  <c r="A12" i="16"/>
  <c r="C12" i="16"/>
  <c r="D12" i="16"/>
  <c r="E12" i="16"/>
  <c r="F12" i="16"/>
  <c r="G12" i="16"/>
  <c r="H12" i="16"/>
  <c r="I12" i="16"/>
  <c r="H11" i="22" l="1"/>
  <c r="H10" i="22"/>
  <c r="F9" i="24"/>
  <c r="H33" i="20"/>
  <c r="I33" i="20"/>
  <c r="H32" i="20"/>
  <c r="C19" i="21"/>
  <c r="C20" i="21"/>
  <c r="E19" i="21"/>
  <c r="C24" i="21"/>
  <c r="E24" i="21"/>
  <c r="D24" i="18"/>
  <c r="D25" i="18"/>
  <c r="C20" i="18"/>
  <c r="I32" i="20"/>
  <c r="B8" i="21"/>
  <c r="J5" i="21"/>
  <c r="D15" i="21"/>
  <c r="B15" i="21"/>
  <c r="F5" i="24" s="1"/>
  <c r="O5" i="24" s="1"/>
  <c r="J13" i="21"/>
  <c r="B7" i="21"/>
  <c r="F4" i="24" s="1"/>
  <c r="O4" i="24" s="1"/>
  <c r="D7" i="21"/>
  <c r="J23" i="10"/>
  <c r="E21" i="22"/>
  <c r="B22" i="22"/>
  <c r="E10" i="24" s="1"/>
  <c r="E9" i="24"/>
  <c r="J12" i="21"/>
  <c r="J14" i="21"/>
  <c r="J4" i="21"/>
  <c r="J6" i="21"/>
  <c r="J30" i="10"/>
  <c r="B21" i="22"/>
  <c r="J11" i="21"/>
  <c r="J3" i="21"/>
  <c r="J24" i="10"/>
  <c r="J29" i="10"/>
  <c r="J28" i="10"/>
  <c r="J33" i="10"/>
  <c r="J27" i="10"/>
  <c r="J19" i="15"/>
  <c r="J24" i="15"/>
  <c r="J18" i="15"/>
  <c r="J20" i="15"/>
  <c r="J21" i="15"/>
  <c r="J30" i="15"/>
  <c r="J28" i="15"/>
  <c r="J23" i="15"/>
  <c r="J29" i="15"/>
  <c r="J25" i="15"/>
  <c r="J26" i="15"/>
  <c r="L3" i="22"/>
  <c r="L4" i="22"/>
  <c r="L5" i="22"/>
  <c r="L6" i="22"/>
  <c r="L7" i="22"/>
  <c r="L8" i="22"/>
  <c r="J14" i="19"/>
  <c r="J15" i="19"/>
  <c r="J16" i="19"/>
  <c r="J17" i="19"/>
  <c r="J18" i="19"/>
  <c r="J19" i="19"/>
  <c r="J3" i="18"/>
  <c r="C19" i="18"/>
  <c r="D19" i="18"/>
  <c r="E19" i="18"/>
  <c r="J14" i="18"/>
  <c r="A36" i="14"/>
  <c r="A47" i="14" s="1"/>
  <c r="A58" i="14"/>
  <c r="A37" i="14"/>
  <c r="A48" i="14" s="1"/>
  <c r="A59" i="14"/>
  <c r="F59" i="14"/>
  <c r="A38" i="14"/>
  <c r="A49" i="14" s="1"/>
  <c r="A60" i="14"/>
  <c r="A39" i="14"/>
  <c r="A50" i="14" s="1"/>
  <c r="A61" i="14"/>
  <c r="F61" i="14"/>
  <c r="A40" i="14"/>
  <c r="A51" i="14" s="1"/>
  <c r="A62" i="14"/>
  <c r="F62" i="14"/>
  <c r="A41" i="14"/>
  <c r="A52" i="14" s="1"/>
  <c r="A63" i="14"/>
  <c r="F63" i="14"/>
  <c r="A42" i="14"/>
  <c r="A53" i="14" s="1"/>
  <c r="A64" i="14"/>
  <c r="F64" i="14"/>
  <c r="A43" i="14"/>
  <c r="A54" i="14" s="1"/>
  <c r="A65" i="14"/>
  <c r="B5" i="16"/>
  <c r="C5" i="16"/>
  <c r="E5" i="16"/>
  <c r="F5" i="16"/>
  <c r="G5" i="16"/>
  <c r="C3" i="16"/>
  <c r="D3" i="16"/>
  <c r="E3" i="16"/>
  <c r="F3" i="16"/>
  <c r="G3" i="16"/>
  <c r="B10" i="16"/>
  <c r="C10" i="16"/>
  <c r="D10" i="16"/>
  <c r="E10" i="16"/>
  <c r="F10" i="16"/>
  <c r="G10" i="16"/>
  <c r="B8" i="16"/>
  <c r="C8" i="16"/>
  <c r="D8" i="16"/>
  <c r="E8" i="16"/>
  <c r="F8" i="16"/>
  <c r="G8" i="16"/>
  <c r="B15" i="16"/>
  <c r="C15" i="16"/>
  <c r="D15" i="16"/>
  <c r="E15" i="16"/>
  <c r="F15" i="16"/>
  <c r="G15" i="16"/>
  <c r="B13" i="16"/>
  <c r="C13" i="16"/>
  <c r="D13" i="16"/>
  <c r="E13" i="16"/>
  <c r="F13" i="16"/>
  <c r="G13" i="16"/>
  <c r="D16" i="16"/>
  <c r="E16" i="16"/>
  <c r="F16" i="16"/>
  <c r="G16" i="16"/>
  <c r="B18" i="16"/>
  <c r="C18" i="16"/>
  <c r="D18" i="16"/>
  <c r="E18" i="16"/>
  <c r="F18" i="16"/>
  <c r="G18" i="16"/>
  <c r="A31" i="16"/>
  <c r="A38" i="16" s="1"/>
  <c r="B6" i="16"/>
  <c r="D6" i="16"/>
  <c r="E6" i="16"/>
  <c r="F6" i="16"/>
  <c r="G6" i="16"/>
  <c r="A44" i="16"/>
  <c r="C4" i="16"/>
  <c r="D4" i="16"/>
  <c r="E4" i="16"/>
  <c r="F4" i="16"/>
  <c r="G4" i="16"/>
  <c r="A32" i="16"/>
  <c r="A39" i="16" s="1"/>
  <c r="B11" i="16"/>
  <c r="C11" i="16"/>
  <c r="D11" i="16"/>
  <c r="E11" i="16"/>
  <c r="F11" i="16"/>
  <c r="G11" i="16"/>
  <c r="A45" i="16"/>
  <c r="C9" i="16"/>
  <c r="D9" i="16"/>
  <c r="E9" i="16"/>
  <c r="F9" i="16"/>
  <c r="G9" i="16"/>
  <c r="A33" i="16"/>
  <c r="A46" i="16"/>
  <c r="C14" i="16"/>
  <c r="D14" i="16"/>
  <c r="E14" i="16"/>
  <c r="F14" i="16"/>
  <c r="G14" i="16"/>
  <c r="A34" i="16"/>
  <c r="A41" i="16" s="1"/>
  <c r="B21" i="16"/>
  <c r="C21" i="16"/>
  <c r="D21" i="16"/>
  <c r="E21" i="16"/>
  <c r="F21" i="16"/>
  <c r="G21" i="16"/>
  <c r="A47" i="16"/>
  <c r="C19" i="16"/>
  <c r="D19" i="16"/>
  <c r="E19" i="16"/>
  <c r="F19" i="16"/>
  <c r="G19" i="16"/>
  <c r="A2" i="16"/>
  <c r="C2" i="16"/>
  <c r="D2" i="16"/>
  <c r="E2" i="16"/>
  <c r="F2" i="16"/>
  <c r="G2" i="16"/>
  <c r="H2" i="16"/>
  <c r="I2" i="16"/>
  <c r="D5" i="16"/>
  <c r="C17" i="16"/>
  <c r="D17" i="16"/>
  <c r="E17" i="16"/>
  <c r="F17" i="16"/>
  <c r="G17" i="16"/>
  <c r="H17" i="16"/>
  <c r="I17" i="16"/>
  <c r="J3" i="15"/>
  <c r="C7" i="15"/>
  <c r="D7" i="15"/>
  <c r="E7" i="15"/>
  <c r="F7" i="15"/>
  <c r="G7" i="15"/>
  <c r="H7" i="15"/>
  <c r="I7" i="15"/>
  <c r="I27" i="15" s="1"/>
  <c r="C12" i="15"/>
  <c r="D12" i="15"/>
  <c r="E12" i="15"/>
  <c r="F12" i="15"/>
  <c r="G12" i="15"/>
  <c r="H12" i="15"/>
  <c r="I12" i="15"/>
  <c r="J16" i="15"/>
  <c r="E7" i="2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H17" i="14"/>
  <c r="G17" i="14"/>
  <c r="F17" i="14"/>
  <c r="D17" i="14"/>
  <c r="H12" i="14"/>
  <c r="G12" i="14"/>
  <c r="F12" i="14"/>
  <c r="D12" i="14"/>
  <c r="C12" i="14"/>
  <c r="B17" i="14"/>
  <c r="B12" i="14"/>
  <c r="H7" i="14"/>
  <c r="G7" i="14"/>
  <c r="F7" i="14"/>
  <c r="D7" i="14"/>
  <c r="C7" i="14"/>
  <c r="B7" i="14"/>
  <c r="B7" i="13"/>
  <c r="C7" i="13"/>
  <c r="D7" i="13"/>
  <c r="E7" i="13"/>
  <c r="F7" i="13"/>
  <c r="G7" i="13"/>
  <c r="H7" i="13"/>
  <c r="B12" i="13"/>
  <c r="C12" i="13"/>
  <c r="D12" i="13"/>
  <c r="E12" i="13"/>
  <c r="F12" i="13"/>
  <c r="G12" i="13"/>
  <c r="H12" i="13"/>
  <c r="B17" i="13"/>
  <c r="C17" i="13"/>
  <c r="D17" i="13"/>
  <c r="E17" i="13"/>
  <c r="F17" i="13"/>
  <c r="G17" i="13"/>
  <c r="H17" i="13"/>
  <c r="L25" i="11"/>
  <c r="L24" i="11"/>
  <c r="L23" i="11"/>
  <c r="L19" i="11"/>
  <c r="L18" i="11"/>
  <c r="L17" i="11"/>
  <c r="J21" i="10"/>
  <c r="A17" i="16" l="1"/>
  <c r="A40" i="16"/>
  <c r="E4" i="24"/>
  <c r="N4" i="24" s="1"/>
  <c r="F19" i="21"/>
  <c r="F20" i="21"/>
  <c r="F25" i="21"/>
  <c r="F24" i="21"/>
  <c r="B16" i="18"/>
  <c r="B20" i="18"/>
  <c r="B19" i="18"/>
  <c r="D20" i="18"/>
  <c r="E20" i="18"/>
  <c r="F10" i="24"/>
  <c r="K7" i="19"/>
  <c r="K3" i="19"/>
  <c r="F65" i="14"/>
  <c r="F60" i="14"/>
  <c r="F58" i="14"/>
  <c r="B14" i="16"/>
  <c r="J46" i="16"/>
  <c r="B9" i="16"/>
  <c r="J45" i="16"/>
  <c r="B4" i="16"/>
  <c r="J44" i="16"/>
  <c r="B19" i="16"/>
  <c r="J47" i="16"/>
  <c r="K6" i="19"/>
  <c r="K8" i="19"/>
  <c r="K4" i="19"/>
  <c r="K5" i="19"/>
  <c r="E5" i="24"/>
  <c r="N5" i="24" s="1"/>
  <c r="J11" i="18"/>
  <c r="J6" i="18"/>
  <c r="J4" i="18"/>
  <c r="E21" i="19"/>
  <c r="J21" i="22" s="1"/>
  <c r="B21" i="19"/>
  <c r="E10" i="19"/>
  <c r="J10" i="22" s="1"/>
  <c r="B15" i="18"/>
  <c r="C5" i="24" s="1"/>
  <c r="D15" i="18"/>
  <c r="J15" i="21" s="1"/>
  <c r="D7" i="18"/>
  <c r="J7" i="21" s="1"/>
  <c r="B7" i="18"/>
  <c r="C4" i="24" s="1"/>
  <c r="B22" i="19"/>
  <c r="J13" i="18"/>
  <c r="B5" i="24"/>
  <c r="J12" i="18"/>
  <c r="B8" i="18"/>
  <c r="B4" i="24" s="1"/>
  <c r="J5" i="18"/>
  <c r="J15" i="10"/>
  <c r="F20" i="16"/>
  <c r="K16" i="19"/>
  <c r="J3" i="10"/>
  <c r="J9" i="10"/>
  <c r="J11" i="13"/>
  <c r="J16" i="13"/>
  <c r="J21" i="13"/>
  <c r="F47" i="14"/>
  <c r="K17" i="19"/>
  <c r="K18" i="19"/>
  <c r="K14" i="19"/>
  <c r="K19" i="19"/>
  <c r="K15" i="19"/>
  <c r="F26" i="14"/>
  <c r="F48" i="14"/>
  <c r="F49" i="14"/>
  <c r="C20" i="16"/>
  <c r="C16" i="16"/>
  <c r="B20" i="16"/>
  <c r="B16" i="16"/>
  <c r="J27" i="16"/>
  <c r="J33" i="16"/>
  <c r="D20" i="16"/>
  <c r="J10" i="15"/>
  <c r="J6" i="15"/>
  <c r="J8" i="15"/>
  <c r="J13" i="15"/>
  <c r="J4" i="15"/>
  <c r="J11" i="15"/>
  <c r="J14" i="15"/>
  <c r="J5" i="15"/>
  <c r="J15" i="15"/>
  <c r="J31" i="15"/>
  <c r="J9" i="15"/>
  <c r="F37" i="14"/>
  <c r="F25" i="14"/>
  <c r="F52" i="14"/>
  <c r="F50" i="14"/>
  <c r="F53" i="14"/>
  <c r="F51" i="14"/>
  <c r="F41" i="14"/>
  <c r="F27" i="14"/>
  <c r="F54" i="14"/>
  <c r="G20" i="16"/>
  <c r="J31" i="16"/>
  <c r="J39" i="16"/>
  <c r="E20" i="16"/>
  <c r="J40" i="16"/>
  <c r="J25" i="16"/>
  <c r="J38" i="16"/>
  <c r="C6" i="16"/>
  <c r="J34" i="16"/>
  <c r="J26" i="16"/>
  <c r="J32" i="16"/>
  <c r="F43" i="14"/>
  <c r="F42" i="14"/>
  <c r="F30" i="14"/>
  <c r="F29" i="14"/>
  <c r="F40" i="14"/>
  <c r="F31" i="14"/>
  <c r="F36" i="14"/>
  <c r="F32" i="14"/>
  <c r="F28" i="14"/>
  <c r="F39" i="14"/>
  <c r="F38" i="14"/>
  <c r="J28" i="16"/>
  <c r="B3" i="16"/>
  <c r="J41" i="16"/>
  <c r="E7" i="14"/>
  <c r="E17" i="14"/>
  <c r="C10" i="24" l="1"/>
  <c r="H21" i="22"/>
  <c r="C9" i="24"/>
  <c r="L5" i="24"/>
  <c r="Q5" i="24" s="1"/>
  <c r="I5" i="24"/>
  <c r="L4" i="24"/>
  <c r="Q4" i="24" s="1"/>
  <c r="I4" i="24"/>
  <c r="F25" i="18"/>
  <c r="F24" i="18"/>
  <c r="F20" i="18"/>
  <c r="F19" i="18"/>
  <c r="H5" i="24"/>
  <c r="I10" i="24"/>
  <c r="B10" i="24"/>
  <c r="H10" i="24" s="1"/>
  <c r="H22" i="22"/>
  <c r="I9" i="24"/>
  <c r="H9" i="24"/>
  <c r="H15" i="21"/>
  <c r="H8" i="21"/>
  <c r="H7" i="21"/>
  <c r="H16" i="21"/>
  <c r="I36" i="10"/>
  <c r="I18" i="10"/>
  <c r="J18" i="10"/>
  <c r="J5" i="10"/>
  <c r="J4" i="10"/>
  <c r="J11" i="2"/>
  <c r="I22" i="2"/>
  <c r="I17" i="2"/>
  <c r="I12" i="2"/>
  <c r="I7" i="2"/>
  <c r="H4" i="24" l="1"/>
  <c r="J15" i="2"/>
  <c r="J16" i="10"/>
  <c r="J34" i="10"/>
  <c r="J10" i="10"/>
  <c r="J11" i="10"/>
  <c r="J12" i="10"/>
  <c r="J6" i="10"/>
  <c r="J17" i="10"/>
  <c r="J22" i="10"/>
  <c r="J35" i="10"/>
  <c r="J36" i="10"/>
  <c r="J23" i="2"/>
  <c r="J29" i="2"/>
  <c r="J13" i="2"/>
  <c r="J31" i="2"/>
  <c r="J14" i="2"/>
  <c r="J10" i="2"/>
  <c r="J8" i="2"/>
  <c r="J19" i="2"/>
  <c r="J3" i="2"/>
  <c r="J18" i="2"/>
  <c r="J28" i="2"/>
  <c r="J25" i="2"/>
  <c r="J9" i="2"/>
  <c r="J21" i="2"/>
  <c r="J26" i="2"/>
  <c r="J6" i="2"/>
  <c r="J16" i="2"/>
  <c r="J20" i="2"/>
  <c r="J5" i="2"/>
  <c r="J30" i="2"/>
  <c r="J24" i="2"/>
  <c r="J4" i="2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I27" i="2" l="1"/>
</calcChain>
</file>

<file path=xl/sharedStrings.xml><?xml version="1.0" encoding="utf-8"?>
<sst xmlns="http://schemas.openxmlformats.org/spreadsheetml/2006/main" count="579" uniqueCount="122">
  <si>
    <t>Predictors</t>
  </si>
  <si>
    <t>Estimates</t>
  </si>
  <si>
    <t xml:space="preserve">SE 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</si>
  <si>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</si>
  <si>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</si>
  <si>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</si>
  <si>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</si>
  <si>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</si>
  <si>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</si>
  <si>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</si>
  <si>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</si>
  <si>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</si>
  <si>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</si>
  <si>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</si>
  <si>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</si>
  <si>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</si>
  <si>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</si>
  <si>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</si>
  <si>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</si>
  <si>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</si>
  <si>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</si>
  <si>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</si>
  <si>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</si>
  <si>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</si>
  <si>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</si>
  <si>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</si>
  <si>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</si>
  <si>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</si>
  <si>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</si>
  <si>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</si>
  <si>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est.</t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</si>
  <si>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</si>
  <si>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</si>
  <si>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</si>
  <si>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</si>
  <si>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</si>
  <si>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</si>
  <si>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</si>
  <si>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</si>
  <si>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</si>
  <si>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</si>
  <si>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</si>
  <si>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</si>
  <si>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t>intercept</t>
  </si>
  <si>
    <t>conf.low</t>
  </si>
  <si>
    <t>conf.high</t>
  </si>
  <si>
    <t>CI diff</t>
  </si>
  <si>
    <t>mode-only</t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</si>
  <si>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</si>
  <si>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</si>
  <si>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</si>
  <si>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</si>
  <si>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</si>
  <si>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</si>
  <si>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t>CI Delta</t>
  </si>
  <si>
    <t>full phon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</si>
  <si>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</si>
  <si>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</si>
  <si>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</si>
  <si>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</si>
  <si>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</si>
  <si>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</si>
  <si>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</si>
  <si>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</si>
  <si>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with-phon</t>
  </si>
  <si>
    <t>change</t>
  </si>
  <si>
    <t>mean_diff</t>
  </si>
  <si>
    <t>b0 means</t>
  </si>
  <si>
    <t>b1 means</t>
  </si>
  <si>
    <t>slope (ST/sec)</t>
  </si>
  <si>
    <t>mode-and-phon</t>
  </si>
  <si>
    <t>mode-only model</t>
  </si>
  <si>
    <t>mode-and-phon model</t>
  </si>
  <si>
    <t>std dev.</t>
  </si>
  <si>
    <t>est diff bt models</t>
  </si>
  <si>
    <t>F</t>
  </si>
  <si>
    <t>M</t>
  </si>
  <si>
    <t>var diff</t>
  </si>
  <si>
    <t>ST</t>
  </si>
  <si>
    <t>ST/s</t>
  </si>
  <si>
    <r>
      <t xml:space="preserve">L </t>
    </r>
    <r>
      <rPr>
        <i/>
        <sz val="20"/>
        <rFont val="Calibri"/>
        <family val="2"/>
        <scheme val="minor"/>
      </rPr>
      <t>f</t>
    </r>
    <r>
      <rPr>
        <vertAlign val="subscript"/>
        <sz val="20"/>
        <rFont val="Calibri"/>
        <family val="2"/>
        <scheme val="minor"/>
      </rPr>
      <t>0</t>
    </r>
  </si>
  <si>
    <r>
      <t xml:space="preserve">H </t>
    </r>
    <r>
      <rPr>
        <i/>
        <sz val="20"/>
        <rFont val="Calibri"/>
        <family val="2"/>
        <scheme val="minor"/>
      </rPr>
      <t>f</t>
    </r>
    <r>
      <rPr>
        <vertAlign val="subscript"/>
        <sz val="20"/>
        <rFont val="Calibri"/>
        <family val="2"/>
        <scheme val="minor"/>
      </rPr>
      <t>0</t>
    </r>
  </si>
  <si>
    <t>L_f0 (ST re median)</t>
  </si>
  <si>
    <t>H_f0 (ST re median)</t>
  </si>
  <si>
    <t>mean f0 (ST re median)</t>
  </si>
  <si>
    <t>f0 (ST re median)</t>
  </si>
  <si>
    <t>est. diff. (ST re med.)</t>
  </si>
  <si>
    <t>est. diff. (ms)</t>
  </si>
  <si>
    <t>est. diff. (ST)</t>
  </si>
  <si>
    <t>t.value</t>
  </si>
  <si>
    <t>H (m+p)</t>
  </si>
  <si>
    <t>L (m+p)</t>
  </si>
  <si>
    <t>H (m-o)</t>
  </si>
  <si>
    <t>L (m-o)</t>
  </si>
  <si>
    <t>MDC MWH</t>
  </si>
  <si>
    <t>MDC MYN</t>
  </si>
  <si>
    <t>MDC MDQ</t>
  </si>
  <si>
    <t>MWH MYN</t>
  </si>
  <si>
    <t>MWH MDQ</t>
  </si>
  <si>
    <t>MYN  MDQ</t>
  </si>
  <si>
    <t>MYN MDQ</t>
  </si>
  <si>
    <t>m-o</t>
  </si>
  <si>
    <t>m+p</t>
  </si>
  <si>
    <t>L*H ^[L*]H</t>
  </si>
  <si>
    <t>L*H L*^[H]</t>
  </si>
  <si>
    <t>L*H ^[L*H]</t>
  </si>
  <si>
    <t>^[L]*H L*^[H]</t>
  </si>
  <si>
    <t>^[L]*H ^[L*H]</t>
  </si>
  <si>
    <t>L*^[H] ^[L*H]</t>
  </si>
  <si>
    <t>MDC (m+p)</t>
  </si>
  <si>
    <t>MWH (m+p)</t>
  </si>
  <si>
    <t>MYN (m+p)</t>
  </si>
  <si>
    <t>MDQ (m+p)</t>
  </si>
  <si>
    <t>ave slope (m+p)</t>
  </si>
  <si>
    <t>ave  mean f0 (m+p)</t>
  </si>
  <si>
    <t>MDC (m-o)</t>
  </si>
  <si>
    <t>MWH (m-o)</t>
  </si>
  <si>
    <t>MYN (m-o)</t>
  </si>
  <si>
    <t>MDQ (m-o)</t>
  </si>
  <si>
    <t>ave  mean f0 (m-o)</t>
  </si>
  <si>
    <t>ave slope (m-o)</t>
  </si>
  <si>
    <t>change from mode-only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</si>
</sst>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2" tint="-0.249977111117893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b/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20"/>
      <name val="Calibri"/>
      <family val="2"/>
      <scheme val="minor"/>
    </font>
    <font>
      <vertAlign val="subscript"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282">
    <xf numFmtId="0" fontId="0" fillId="0" borderId="0" xfId="0"/>
    <xf numFmtId="1" fontId="2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1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10" fillId="0" borderId="13" xfId="0" applyNumberFormat="1" applyFont="1" applyBorder="1" applyAlignment="1">
      <alignment horizontal="right" vertical="center" wrapText="1"/>
    </xf>
    <xf numFmtId="2" fontId="10" fillId="0" borderId="9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 vertical="center" wrapText="1"/>
    </xf>
    <xf numFmtId="2" fontId="11" fillId="0" borderId="6" xfId="0" applyNumberFormat="1" applyFont="1" applyBorder="1" applyAlignment="1">
      <alignment horizontal="right" vertical="center" wrapText="1"/>
    </xf>
    <xf numFmtId="1" fontId="11" fillId="0" borderId="6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2" fontId="11" fillId="0" borderId="8" xfId="0" applyNumberFormat="1" applyFont="1" applyBorder="1" applyAlignment="1">
      <alignment horizontal="right" vertical="center" wrapText="1"/>
    </xf>
    <xf numFmtId="1" fontId="11" fillId="0" borderId="8" xfId="0" applyNumberFormat="1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2" fontId="11" fillId="0" borderId="5" xfId="0" applyNumberFormat="1" applyFont="1" applyBorder="1" applyAlignment="1">
      <alignment horizontal="right" vertical="center" wrapText="1"/>
    </xf>
    <xf numFmtId="164" fontId="11" fillId="0" borderId="5" xfId="0" applyNumberFormat="1" applyFont="1" applyBorder="1" applyAlignment="1">
      <alignment horizontal="right" vertical="center" wrapText="1"/>
    </xf>
    <xf numFmtId="164" fontId="11" fillId="0" borderId="8" xfId="0" applyNumberFormat="1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1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0" fontId="13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5" fillId="0" borderId="0" xfId="0" applyNumberFormat="1" applyFont="1" applyAlignment="1">
      <alignment horizontal="left" vertical="center"/>
    </xf>
    <xf numFmtId="2" fontId="16" fillId="0" borderId="5" xfId="0" applyNumberFormat="1" applyFont="1" applyBorder="1" applyAlignment="1">
      <alignment horizontal="right" vertical="center" wrapText="1"/>
    </xf>
    <xf numFmtId="166" fontId="16" fillId="0" borderId="12" xfId="0" applyNumberFormat="1" applyFont="1" applyBorder="1" applyAlignment="1">
      <alignment horizontal="right" vertical="center" wrapText="1"/>
    </xf>
    <xf numFmtId="164" fontId="16" fillId="0" borderId="5" xfId="0" applyNumberFormat="1" applyFont="1" applyBorder="1" applyAlignment="1">
      <alignment horizontal="right" vertical="center" wrapText="1"/>
    </xf>
    <xf numFmtId="2" fontId="16" fillId="0" borderId="6" xfId="0" applyNumberFormat="1" applyFont="1" applyBorder="1" applyAlignment="1">
      <alignment horizontal="right" vertical="center" wrapText="1"/>
    </xf>
    <xf numFmtId="166" fontId="16" fillId="0" borderId="11" xfId="0" applyNumberFormat="1" applyFont="1" applyBorder="1" applyAlignment="1">
      <alignment horizontal="right" vertical="center" wrapText="1"/>
    </xf>
    <xf numFmtId="164" fontId="16" fillId="0" borderId="6" xfId="0" applyNumberFormat="1" applyFont="1" applyBorder="1" applyAlignment="1">
      <alignment horizontal="right" vertical="center" wrapText="1"/>
    </xf>
    <xf numFmtId="2" fontId="16" fillId="0" borderId="20" xfId="0" applyNumberFormat="1" applyFont="1" applyBorder="1" applyAlignment="1">
      <alignment horizontal="right" vertical="center" wrapText="1"/>
    </xf>
    <xf numFmtId="166" fontId="16" fillId="0" borderId="20" xfId="0" applyNumberFormat="1" applyFont="1" applyBorder="1" applyAlignment="1">
      <alignment horizontal="right" vertical="center" wrapText="1"/>
    </xf>
    <xf numFmtId="164" fontId="16" fillId="0" borderId="20" xfId="0" applyNumberFormat="1" applyFont="1" applyBorder="1" applyAlignment="1">
      <alignment horizontal="right" vertical="center" wrapText="1"/>
    </xf>
    <xf numFmtId="2" fontId="17" fillId="0" borderId="20" xfId="0" applyNumberFormat="1" applyFont="1" applyBorder="1" applyAlignment="1">
      <alignment horizontal="right" vertical="center" wrapText="1"/>
    </xf>
    <xf numFmtId="165" fontId="17" fillId="0" borderId="20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1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164" fontId="19" fillId="0" borderId="0" xfId="0" applyNumberFormat="1" applyFont="1" applyAlignment="1">
      <alignment horizontal="right" vertical="center" wrapText="1"/>
    </xf>
    <xf numFmtId="164" fontId="19" fillId="0" borderId="0" xfId="0" applyNumberFormat="1" applyFont="1" applyAlignment="1">
      <alignment horizontal="right" vertical="center"/>
    </xf>
    <xf numFmtId="164" fontId="20" fillId="0" borderId="0" xfId="0" applyNumberFormat="1" applyFont="1" applyAlignment="1">
      <alignment horizontal="right" vertical="center" wrapText="1"/>
    </xf>
    <xf numFmtId="2" fontId="20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0" fontId="15" fillId="0" borderId="0" xfId="0" applyFont="1"/>
    <xf numFmtId="2" fontId="16" fillId="0" borderId="12" xfId="0" applyNumberFormat="1" applyFont="1" applyBorder="1" applyAlignment="1">
      <alignment horizontal="right" vertical="center" wrapText="1"/>
    </xf>
    <xf numFmtId="2" fontId="16" fillId="0" borderId="11" xfId="0" applyNumberFormat="1" applyFont="1" applyBorder="1" applyAlignment="1">
      <alignment horizontal="right" vertical="center" wrapText="1"/>
    </xf>
    <xf numFmtId="2" fontId="10" fillId="0" borderId="10" xfId="0" applyNumberFormat="1" applyFont="1" applyBorder="1" applyAlignment="1">
      <alignment horizontal="right" vertical="center" wrapText="1"/>
    </xf>
    <xf numFmtId="2" fontId="25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2" fontId="11" fillId="0" borderId="21" xfId="0" applyNumberFormat="1" applyFont="1" applyBorder="1" applyAlignment="1">
      <alignment horizontal="right" vertical="center" wrapText="1"/>
    </xf>
    <xf numFmtId="164" fontId="11" fillId="0" borderId="21" xfId="0" applyNumberFormat="1" applyFont="1" applyBorder="1" applyAlignment="1">
      <alignment horizontal="right" vertical="center" wrapText="1"/>
    </xf>
    <xf numFmtId="164" fontId="11" fillId="0" borderId="22" xfId="0" applyNumberFormat="1" applyFont="1" applyBorder="1" applyAlignment="1">
      <alignment horizontal="right" vertical="center" wrapText="1"/>
    </xf>
    <xf numFmtId="2" fontId="11" fillId="0" borderId="22" xfId="0" applyNumberFormat="1" applyFont="1" applyBorder="1" applyAlignment="1">
      <alignment horizontal="right" vertical="center" wrapText="1"/>
    </xf>
    <xf numFmtId="1" fontId="11" fillId="0" borderId="22" xfId="0" applyNumberFormat="1" applyFont="1" applyBorder="1" applyAlignment="1">
      <alignment horizontal="right" vertical="center" wrapText="1"/>
    </xf>
    <xf numFmtId="2" fontId="10" fillId="0" borderId="2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8" fillId="0" borderId="0" xfId="0" applyNumberFormat="1" applyFont="1"/>
    <xf numFmtId="0" fontId="8" fillId="0" borderId="0" xfId="0" applyFont="1"/>
    <xf numFmtId="2" fontId="9" fillId="0" borderId="0" xfId="0" applyNumberFormat="1" applyFont="1" applyAlignment="1">
      <alignment horizontal="center"/>
    </xf>
    <xf numFmtId="164" fontId="11" fillId="0" borderId="7" xfId="0" applyNumberFormat="1" applyFont="1" applyBorder="1" applyAlignment="1">
      <alignment horizontal="right" vertical="center" wrapText="1"/>
    </xf>
    <xf numFmtId="2" fontId="11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center"/>
    </xf>
    <xf numFmtId="164" fontId="11" fillId="0" borderId="12" xfId="0" applyNumberFormat="1" applyFont="1" applyBorder="1" applyAlignment="1">
      <alignment horizontal="right" vertical="center" wrapText="1"/>
    </xf>
    <xf numFmtId="2" fontId="11" fillId="0" borderId="12" xfId="0" applyNumberFormat="1" applyFont="1" applyBorder="1" applyAlignment="1">
      <alignment horizontal="right" vertical="center" wrapText="1"/>
    </xf>
    <xf numFmtId="1" fontId="11" fillId="0" borderId="7" xfId="0" applyNumberFormat="1" applyFont="1" applyBorder="1" applyAlignment="1">
      <alignment horizontal="right" vertical="center" wrapText="1"/>
    </xf>
    <xf numFmtId="1" fontId="11" fillId="0" borderId="11" xfId="0" applyNumberFormat="1" applyFont="1" applyBorder="1" applyAlignment="1">
      <alignment horizontal="right" vertical="center" wrapText="1"/>
    </xf>
    <xf numFmtId="164" fontId="11" fillId="0" borderId="11" xfId="0" applyNumberFormat="1" applyFont="1" applyBorder="1" applyAlignment="1">
      <alignment horizontal="right" vertical="center" wrapText="1"/>
    </xf>
    <xf numFmtId="2" fontId="11" fillId="0" borderId="11" xfId="0" applyNumberFormat="1" applyFont="1" applyBorder="1" applyAlignment="1">
      <alignment horizontal="right" vertical="center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2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2" fontId="29" fillId="0" borderId="0" xfId="0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" fontId="15" fillId="0" borderId="0" xfId="0" applyNumberFormat="1" applyFont="1"/>
    <xf numFmtId="2" fontId="15" fillId="0" borderId="0" xfId="0" applyNumberFormat="1" applyFont="1" applyAlignment="1">
      <alignment horizontal="right" vertical="center"/>
    </xf>
    <xf numFmtId="165" fontId="16" fillId="0" borderId="20" xfId="0" applyNumberFormat="1" applyFont="1" applyBorder="1" applyAlignment="1">
      <alignment horizontal="right" vertical="center" wrapText="1"/>
    </xf>
    <xf numFmtId="2" fontId="31" fillId="0" borderId="20" xfId="0" applyNumberFormat="1" applyFont="1" applyBorder="1" applyAlignment="1">
      <alignment horizontal="right" vertical="center" wrapText="1"/>
    </xf>
    <xf numFmtId="2" fontId="31" fillId="0" borderId="6" xfId="0" applyNumberFormat="1" applyFont="1" applyBorder="1" applyAlignment="1">
      <alignment horizontal="right" vertical="center" wrapText="1"/>
    </xf>
    <xf numFmtId="0" fontId="32" fillId="0" borderId="0" xfId="0" applyFont="1"/>
    <xf numFmtId="2" fontId="30" fillId="0" borderId="20" xfId="0" applyNumberFormat="1" applyFont="1" applyBorder="1" applyAlignment="1">
      <alignment horizontal="center" vertical="center" wrapText="1"/>
    </xf>
    <xf numFmtId="2" fontId="30" fillId="0" borderId="9" xfId="0" applyNumberFormat="1" applyFont="1" applyBorder="1" applyAlignment="1">
      <alignment horizontal="center" vertical="center" wrapText="1"/>
    </xf>
    <xf numFmtId="164" fontId="30" fillId="0" borderId="20" xfId="0" applyNumberFormat="1" applyFont="1" applyBorder="1" applyAlignment="1">
      <alignment horizontal="center" vertical="center" wrapText="1"/>
    </xf>
    <xf numFmtId="164" fontId="30" fillId="0" borderId="9" xfId="0" applyNumberFormat="1" applyFont="1" applyBorder="1" applyAlignment="1">
      <alignment horizontal="center" vertical="center" wrapText="1"/>
    </xf>
    <xf numFmtId="2" fontId="30" fillId="0" borderId="9" xfId="0" applyNumberFormat="1" applyFont="1" applyBorder="1" applyAlignment="1">
      <alignment vertical="center" wrapText="1"/>
    </xf>
    <xf numFmtId="164" fontId="31" fillId="0" borderId="20" xfId="0" applyNumberFormat="1" applyFont="1" applyBorder="1" applyAlignment="1">
      <alignment horizontal="center" vertical="center" wrapText="1"/>
    </xf>
    <xf numFmtId="164" fontId="31" fillId="0" borderId="6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right" vertical="center"/>
    </xf>
    <xf numFmtId="164" fontId="30" fillId="0" borderId="10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33" fillId="0" borderId="0" xfId="0" applyFont="1"/>
    <xf numFmtId="164" fontId="34" fillId="0" borderId="9" xfId="0" applyNumberFormat="1" applyFont="1" applyBorder="1" applyAlignment="1">
      <alignment horizontal="center" vertical="center" wrapText="1"/>
    </xf>
    <xf numFmtId="2" fontId="34" fillId="0" borderId="9" xfId="0" applyNumberFormat="1" applyFont="1" applyBorder="1" applyAlignment="1">
      <alignment horizontal="center" vertical="center" wrapText="1"/>
    </xf>
    <xf numFmtId="164" fontId="34" fillId="0" borderId="20" xfId="0" applyNumberFormat="1" applyFont="1" applyBorder="1" applyAlignment="1">
      <alignment horizontal="center" vertical="center" wrapText="1"/>
    </xf>
    <xf numFmtId="2" fontId="34" fillId="0" borderId="20" xfId="0" applyNumberFormat="1" applyFont="1" applyBorder="1" applyAlignment="1">
      <alignment horizontal="center" vertical="center" wrapText="1"/>
    </xf>
    <xf numFmtId="2" fontId="33" fillId="0" borderId="20" xfId="0" applyNumberFormat="1" applyFont="1" applyBorder="1" applyAlignment="1">
      <alignment horizontal="right" vertical="center" wrapText="1"/>
    </xf>
    <xf numFmtId="2" fontId="33" fillId="0" borderId="6" xfId="0" applyNumberFormat="1" applyFont="1" applyBorder="1" applyAlignment="1">
      <alignment horizontal="right" vertical="center" wrapText="1"/>
    </xf>
    <xf numFmtId="0" fontId="35" fillId="0" borderId="0" xfId="0" applyFont="1"/>
    <xf numFmtId="2" fontId="35" fillId="0" borderId="0" xfId="0" applyNumberFormat="1" applyFont="1"/>
    <xf numFmtId="2" fontId="31" fillId="0" borderId="20" xfId="0" applyNumberFormat="1" applyFont="1" applyBorder="1" applyAlignment="1">
      <alignment horizontal="center" vertical="center" wrapText="1"/>
    </xf>
    <xf numFmtId="2" fontId="31" fillId="0" borderId="6" xfId="0" applyNumberFormat="1" applyFont="1" applyBorder="1" applyAlignment="1">
      <alignment horizontal="center" vertical="center" wrapText="1"/>
    </xf>
    <xf numFmtId="2" fontId="33" fillId="0" borderId="20" xfId="0" applyNumberFormat="1" applyFont="1" applyBorder="1" applyAlignment="1">
      <alignment horizontal="center" vertical="center" wrapText="1"/>
    </xf>
    <xf numFmtId="2" fontId="33" fillId="0" borderId="6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165" fontId="36" fillId="0" borderId="20" xfId="0" applyNumberFormat="1" applyFont="1" applyBorder="1" applyAlignment="1">
      <alignment horizontal="right" vertical="center" wrapText="1"/>
    </xf>
    <xf numFmtId="11" fontId="37" fillId="0" borderId="20" xfId="0" applyNumberFormat="1" applyFont="1" applyBorder="1" applyAlignment="1">
      <alignment horizontal="right" vertical="center" wrapText="1"/>
    </xf>
    <xf numFmtId="11" fontId="37" fillId="0" borderId="11" xfId="0" applyNumberFormat="1" applyFont="1" applyBorder="1" applyAlignment="1">
      <alignment horizontal="right" vertical="center" wrapText="1"/>
    </xf>
    <xf numFmtId="11" fontId="37" fillId="0" borderId="12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2" fontId="36" fillId="0" borderId="20" xfId="0" applyNumberFormat="1" applyFont="1" applyBorder="1" applyAlignment="1">
      <alignment horizontal="right" vertical="center" wrapText="1"/>
    </xf>
    <xf numFmtId="166" fontId="37" fillId="0" borderId="20" xfId="0" applyNumberFormat="1" applyFont="1" applyBorder="1" applyAlignment="1">
      <alignment horizontal="right" vertical="center" wrapText="1"/>
    </xf>
    <xf numFmtId="166" fontId="37" fillId="0" borderId="11" xfId="0" applyNumberFormat="1" applyFont="1" applyBorder="1" applyAlignment="1">
      <alignment horizontal="right" vertical="center" wrapText="1"/>
    </xf>
    <xf numFmtId="166" fontId="37" fillId="0" borderId="12" xfId="0" applyNumberFormat="1" applyFont="1" applyBorder="1" applyAlignment="1">
      <alignment horizontal="right" vertical="center" wrapText="1"/>
    </xf>
    <xf numFmtId="165" fontId="16" fillId="0" borderId="11" xfId="0" applyNumberFormat="1" applyFont="1" applyBorder="1" applyAlignment="1">
      <alignment horizontal="right" vertical="center" wrapText="1"/>
    </xf>
    <xf numFmtId="165" fontId="16" fillId="0" borderId="12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right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2" fontId="39" fillId="0" borderId="10" xfId="0" applyNumberFormat="1" applyFont="1" applyBorder="1" applyAlignment="1">
      <alignment horizontal="right" vertical="center" wrapText="1"/>
    </xf>
    <xf numFmtId="168" fontId="40" fillId="0" borderId="21" xfId="0" applyNumberFormat="1" applyFont="1" applyBorder="1" applyAlignment="1">
      <alignment horizontal="right" vertical="center" wrapText="1"/>
    </xf>
    <xf numFmtId="11" fontId="40" fillId="0" borderId="21" xfId="0" applyNumberFormat="1" applyFont="1" applyBorder="1" applyAlignment="1">
      <alignment horizontal="right" vertical="center" wrapText="1"/>
    </xf>
    <xf numFmtId="2" fontId="39" fillId="0" borderId="23" xfId="0" applyNumberFormat="1" applyFont="1" applyBorder="1" applyAlignment="1">
      <alignment horizontal="right" vertical="center" wrapText="1"/>
    </xf>
    <xf numFmtId="1" fontId="28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1" fontId="13" fillId="0" borderId="1" xfId="0" applyNumberFormat="1" applyFont="1" applyBorder="1" applyAlignment="1">
      <alignment horizontal="right" vertical="center"/>
    </xf>
    <xf numFmtId="2" fontId="13" fillId="0" borderId="2" xfId="0" applyNumberFormat="1" applyFont="1" applyBorder="1" applyAlignment="1">
      <alignment horizontal="right" vertical="center"/>
    </xf>
    <xf numFmtId="164" fontId="13" fillId="0" borderId="2" xfId="0" applyNumberFormat="1" applyFont="1" applyBorder="1" applyAlignment="1">
      <alignment horizontal="right" vertical="center"/>
    </xf>
    <xf numFmtId="164" fontId="14" fillId="0" borderId="0" xfId="0" applyNumberFormat="1" applyFont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right" vertical="center" wrapText="1"/>
    </xf>
    <xf numFmtId="11" fontId="13" fillId="0" borderId="2" xfId="0" applyNumberFormat="1" applyFont="1" applyBorder="1" applyAlignment="1">
      <alignment horizontal="right" vertical="center" wrapText="1"/>
    </xf>
    <xf numFmtId="2" fontId="38" fillId="0" borderId="0" xfId="0" applyNumberFormat="1" applyFont="1" applyAlignment="1">
      <alignment horizontal="center"/>
    </xf>
    <xf numFmtId="2" fontId="39" fillId="0" borderId="9" xfId="0" applyNumberFormat="1" applyFont="1" applyBorder="1" applyAlignment="1">
      <alignment horizontal="right" vertical="center" wrapText="1"/>
    </xf>
    <xf numFmtId="165" fontId="39" fillId="0" borderId="9" xfId="0" applyNumberFormat="1" applyFont="1" applyBorder="1" applyAlignment="1">
      <alignment horizontal="right" vertical="center" wrapText="1"/>
    </xf>
    <xf numFmtId="2" fontId="41" fillId="0" borderId="0" xfId="0" applyNumberFormat="1" applyFont="1" applyAlignment="1">
      <alignment horizontal="right"/>
    </xf>
    <xf numFmtId="2" fontId="40" fillId="0" borderId="8" xfId="0" applyNumberFormat="1" applyFont="1" applyBorder="1" applyAlignment="1">
      <alignment horizontal="right" vertical="center" wrapText="1"/>
    </xf>
    <xf numFmtId="164" fontId="40" fillId="0" borderId="8" xfId="0" applyNumberFormat="1" applyFont="1" applyBorder="1" applyAlignment="1">
      <alignment horizontal="right" vertical="center" wrapText="1"/>
    </xf>
    <xf numFmtId="165" fontId="40" fillId="0" borderId="7" xfId="0" applyNumberFormat="1" applyFont="1" applyBorder="1" applyAlignment="1">
      <alignment horizontal="right" vertical="center" wrapText="1"/>
    </xf>
    <xf numFmtId="2" fontId="40" fillId="0" borderId="7" xfId="0" applyNumberFormat="1" applyFont="1" applyBorder="1" applyAlignment="1">
      <alignment horizontal="right" vertical="center" wrapText="1"/>
    </xf>
    <xf numFmtId="11" fontId="40" fillId="0" borderId="7" xfId="0" applyNumberFormat="1" applyFont="1" applyBorder="1" applyAlignment="1">
      <alignment horizontal="right" vertical="center" wrapText="1"/>
    </xf>
    <xf numFmtId="164" fontId="42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 vertical="center" wrapText="1"/>
    </xf>
    <xf numFmtId="164" fontId="40" fillId="0" borderId="5" xfId="0" applyNumberFormat="1" applyFont="1" applyBorder="1" applyAlignment="1">
      <alignment horizontal="right" vertical="center" wrapText="1"/>
    </xf>
    <xf numFmtId="166" fontId="40" fillId="0" borderId="7" xfId="0" applyNumberFormat="1" applyFont="1" applyBorder="1" applyAlignment="1">
      <alignment horizontal="right" vertical="center" wrapText="1"/>
    </xf>
    <xf numFmtId="1" fontId="42" fillId="0" borderId="0" xfId="0" applyNumberFormat="1" applyFont="1" applyAlignment="1">
      <alignment horizontal="right"/>
    </xf>
    <xf numFmtId="164" fontId="39" fillId="0" borderId="9" xfId="0" applyNumberFormat="1" applyFont="1" applyBorder="1" applyAlignment="1">
      <alignment horizontal="right" vertical="center" wrapText="1"/>
    </xf>
    <xf numFmtId="0" fontId="39" fillId="0" borderId="9" xfId="0" applyFont="1" applyBorder="1" applyAlignment="1">
      <alignment horizontal="right" vertical="center" wrapText="1"/>
    </xf>
    <xf numFmtId="2" fontId="42" fillId="0" borderId="0" xfId="0" applyNumberFormat="1" applyFont="1" applyAlignment="1">
      <alignment horizontal="center"/>
    </xf>
    <xf numFmtId="2" fontId="40" fillId="0" borderId="6" xfId="0" applyNumberFormat="1" applyFont="1" applyBorder="1" applyAlignment="1">
      <alignment horizontal="right" vertical="center" wrapText="1"/>
    </xf>
    <xf numFmtId="164" fontId="40" fillId="0" borderId="6" xfId="0" applyNumberFormat="1" applyFont="1" applyBorder="1" applyAlignment="1">
      <alignment horizontal="right" vertical="center" wrapText="1"/>
    </xf>
    <xf numFmtId="165" fontId="40" fillId="0" borderId="0" xfId="0" applyNumberFormat="1" applyFont="1" applyAlignment="1">
      <alignment horizontal="right" vertical="center" wrapText="1"/>
    </xf>
    <xf numFmtId="165" fontId="42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right"/>
    </xf>
    <xf numFmtId="2" fontId="39" fillId="0" borderId="13" xfId="0" applyNumberFormat="1" applyFont="1" applyBorder="1" applyAlignment="1">
      <alignment horizontal="right" vertical="center" wrapText="1"/>
    </xf>
    <xf numFmtId="2" fontId="40" fillId="0" borderId="0" xfId="0" applyNumberFormat="1" applyFont="1" applyAlignment="1">
      <alignment horizontal="center"/>
    </xf>
    <xf numFmtId="164" fontId="40" fillId="0" borderId="14" xfId="0" applyNumberFormat="1" applyFont="1" applyBorder="1" applyAlignment="1">
      <alignment horizontal="right" vertical="center" wrapText="1"/>
    </xf>
    <xf numFmtId="2" fontId="40" fillId="0" borderId="14" xfId="0" applyNumberFormat="1" applyFont="1" applyBorder="1" applyAlignment="1">
      <alignment horizontal="right" vertical="center" wrapText="1"/>
    </xf>
    <xf numFmtId="167" fontId="40" fillId="0" borderId="14" xfId="0" applyNumberFormat="1" applyFont="1" applyBorder="1" applyAlignment="1">
      <alignment horizontal="right" vertical="center" wrapText="1"/>
    </xf>
    <xf numFmtId="164" fontId="40" fillId="0" borderId="15" xfId="0" applyNumberFormat="1" applyFont="1" applyBorder="1" applyAlignment="1">
      <alignment horizontal="right" vertical="center" wrapText="1"/>
    </xf>
    <xf numFmtId="2" fontId="40" fillId="0" borderId="15" xfId="0" applyNumberFormat="1" applyFont="1" applyBorder="1" applyAlignment="1">
      <alignment horizontal="right" vertical="center" wrapText="1"/>
    </xf>
    <xf numFmtId="167" fontId="40" fillId="0" borderId="15" xfId="0" applyNumberFormat="1" applyFont="1" applyBorder="1" applyAlignment="1">
      <alignment horizontal="right" vertical="center" wrapText="1"/>
    </xf>
    <xf numFmtId="1" fontId="40" fillId="0" borderId="15" xfId="0" applyNumberFormat="1" applyFont="1" applyBorder="1" applyAlignment="1">
      <alignment horizontal="right" vertical="center" wrapText="1"/>
    </xf>
    <xf numFmtId="166" fontId="40" fillId="0" borderId="15" xfId="0" applyNumberFormat="1" applyFont="1" applyBorder="1" applyAlignment="1">
      <alignment horizontal="right" vertical="center" wrapText="1"/>
    </xf>
    <xf numFmtId="2" fontId="40" fillId="0" borderId="0" xfId="0" applyNumberFormat="1" applyFont="1" applyAlignment="1">
      <alignment horizontal="right"/>
    </xf>
    <xf numFmtId="165" fontId="40" fillId="0" borderId="0" xfId="0" applyNumberFormat="1" applyFont="1" applyAlignment="1">
      <alignment horizontal="right"/>
    </xf>
    <xf numFmtId="0" fontId="13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/>
    </xf>
    <xf numFmtId="2" fontId="13" fillId="0" borderId="1" xfId="0" applyNumberFormat="1" applyFont="1" applyBorder="1" applyAlignment="1">
      <alignment horizontal="right" vertical="center"/>
    </xf>
    <xf numFmtId="1" fontId="13" fillId="0" borderId="2" xfId="0" applyNumberFormat="1" applyFont="1" applyBorder="1" applyAlignment="1">
      <alignment horizontal="right" vertical="center"/>
    </xf>
    <xf numFmtId="1" fontId="13" fillId="0" borderId="3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right" vertical="center" wrapText="1"/>
    </xf>
    <xf numFmtId="1" fontId="13" fillId="0" borderId="3" xfId="0" applyNumberFormat="1" applyFont="1" applyBorder="1" applyAlignment="1">
      <alignment horizontal="right" vertical="center"/>
    </xf>
    <xf numFmtId="2" fontId="13" fillId="0" borderId="3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/>
    </xf>
    <xf numFmtId="11" fontId="13" fillId="0" borderId="0" xfId="0" applyNumberFormat="1" applyFont="1" applyAlignment="1">
      <alignment horizontal="right" vertical="center"/>
    </xf>
    <xf numFmtId="2" fontId="13" fillId="0" borderId="2" xfId="0" applyNumberFormat="1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right" vertical="center" wrapText="1"/>
    </xf>
    <xf numFmtId="2" fontId="13" fillId="0" borderId="3" xfId="0" applyNumberFormat="1" applyFont="1" applyBorder="1" applyAlignment="1">
      <alignment horizontal="right" vertical="center" wrapText="1"/>
    </xf>
    <xf numFmtId="1" fontId="13" fillId="0" borderId="4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right" vertical="center" wrapText="1"/>
    </xf>
    <xf numFmtId="164" fontId="13" fillId="0" borderId="3" xfId="0" applyNumberFormat="1" applyFont="1" applyBorder="1" applyAlignment="1">
      <alignment horizontal="right" vertical="center" wrapText="1"/>
    </xf>
    <xf numFmtId="164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 wrapText="1"/>
    </xf>
    <xf numFmtId="164" fontId="13" fillId="0" borderId="2" xfId="0" applyNumberFormat="1" applyFont="1" applyBorder="1" applyAlignment="1">
      <alignment horizontal="left" vertical="center"/>
    </xf>
    <xf numFmtId="0" fontId="40" fillId="0" borderId="0" xfId="0" applyFont="1" applyAlignment="1">
      <alignment horizontal="right"/>
    </xf>
    <xf numFmtId="2" fontId="40" fillId="0" borderId="0" xfId="0" applyNumberFormat="1" applyFont="1" applyAlignment="1">
      <alignment horizontal="right" vertical="center" wrapText="1"/>
    </xf>
    <xf numFmtId="164" fontId="40" fillId="0" borderId="16" xfId="0" applyNumberFormat="1" applyFont="1" applyBorder="1" applyAlignment="1">
      <alignment horizontal="right" vertical="center" wrapText="1"/>
    </xf>
    <xf numFmtId="2" fontId="40" fillId="0" borderId="16" xfId="0" applyNumberFormat="1" applyFont="1" applyBorder="1" applyAlignment="1">
      <alignment horizontal="right" vertical="center" wrapText="1"/>
    </xf>
    <xf numFmtId="165" fontId="40" fillId="0" borderId="16" xfId="0" applyNumberFormat="1" applyFont="1" applyBorder="1" applyAlignment="1">
      <alignment horizontal="right" vertical="center" wrapText="1"/>
    </xf>
    <xf numFmtId="11" fontId="40" fillId="0" borderId="16" xfId="0" applyNumberFormat="1" applyFont="1" applyBorder="1" applyAlignment="1">
      <alignment horizontal="right" vertical="center" wrapText="1"/>
    </xf>
    <xf numFmtId="164" fontId="40" fillId="0" borderId="17" xfId="0" applyNumberFormat="1" applyFont="1" applyBorder="1" applyAlignment="1">
      <alignment horizontal="right" vertical="center" wrapText="1"/>
    </xf>
    <xf numFmtId="2" fontId="40" fillId="0" borderId="17" xfId="0" applyNumberFormat="1" applyFont="1" applyBorder="1" applyAlignment="1">
      <alignment horizontal="right" vertical="center" wrapText="1"/>
    </xf>
    <xf numFmtId="165" fontId="40" fillId="0" borderId="17" xfId="0" applyNumberFormat="1" applyFont="1" applyBorder="1" applyAlignment="1">
      <alignment horizontal="right" vertical="center" wrapText="1"/>
    </xf>
    <xf numFmtId="11" fontId="40" fillId="0" borderId="17" xfId="0" applyNumberFormat="1" applyFont="1" applyBorder="1" applyAlignment="1">
      <alignment horizontal="right" vertical="center" wrapText="1"/>
    </xf>
    <xf numFmtId="1" fontId="40" fillId="0" borderId="17" xfId="0" applyNumberFormat="1" applyFont="1" applyBorder="1" applyAlignment="1">
      <alignment horizontal="right" vertical="center" wrapText="1"/>
    </xf>
    <xf numFmtId="167" fontId="40" fillId="0" borderId="17" xfId="0" applyNumberFormat="1" applyFont="1" applyBorder="1" applyAlignment="1">
      <alignment horizontal="right" vertical="center" wrapText="1"/>
    </xf>
    <xf numFmtId="2" fontId="40" fillId="0" borderId="0" xfId="0" applyNumberFormat="1" applyFont="1" applyAlignment="1">
      <alignment horizontal="center" vertical="center" wrapText="1"/>
    </xf>
    <xf numFmtId="164" fontId="40" fillId="0" borderId="0" xfId="0" applyNumberFormat="1" applyFont="1" applyAlignment="1">
      <alignment horizontal="center"/>
    </xf>
    <xf numFmtId="165" fontId="40" fillId="0" borderId="0" xfId="0" applyNumberFormat="1" applyFont="1" applyAlignment="1">
      <alignment horizontal="center"/>
    </xf>
    <xf numFmtId="2" fontId="40" fillId="0" borderId="12" xfId="0" applyNumberFormat="1" applyFont="1" applyBorder="1" applyAlignment="1">
      <alignment horizontal="right" vertical="center" wrapText="1"/>
    </xf>
    <xf numFmtId="166" fontId="40" fillId="0" borderId="12" xfId="0" applyNumberFormat="1" applyFont="1" applyBorder="1" applyAlignment="1">
      <alignment horizontal="right" vertical="center" wrapText="1"/>
    </xf>
    <xf numFmtId="0" fontId="40" fillId="0" borderId="12" xfId="0" applyFont="1" applyBorder="1" applyAlignment="1">
      <alignment horizontal="right" vertical="center" wrapText="1"/>
    </xf>
    <xf numFmtId="0" fontId="40" fillId="0" borderId="7" xfId="0" applyFont="1" applyBorder="1" applyAlignment="1">
      <alignment horizontal="right" vertical="center" wrapText="1"/>
    </xf>
    <xf numFmtId="2" fontId="40" fillId="0" borderId="11" xfId="0" applyNumberFormat="1" applyFont="1" applyBorder="1" applyAlignment="1">
      <alignment horizontal="right" vertical="center" wrapText="1"/>
    </xf>
    <xf numFmtId="166" fontId="40" fillId="0" borderId="11" xfId="0" applyNumberFormat="1" applyFont="1" applyBorder="1" applyAlignment="1">
      <alignment horizontal="right" vertical="center" wrapText="1"/>
    </xf>
    <xf numFmtId="0" fontId="40" fillId="0" borderId="11" xfId="0" applyFont="1" applyBorder="1" applyAlignment="1">
      <alignment horizontal="right" vertical="center" wrapText="1"/>
    </xf>
    <xf numFmtId="165" fontId="39" fillId="0" borderId="13" xfId="0" applyNumberFormat="1" applyFont="1" applyBorder="1" applyAlignment="1">
      <alignment horizontal="right" vertical="center" wrapText="1"/>
    </xf>
    <xf numFmtId="0" fontId="39" fillId="0" borderId="13" xfId="0" applyFont="1" applyBorder="1" applyAlignment="1">
      <alignment horizontal="right" vertical="center" wrapText="1"/>
    </xf>
    <xf numFmtId="165" fontId="38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164" fontId="11" fillId="0" borderId="6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 vertical="center" wrapText="1"/>
    </xf>
    <xf numFmtId="164" fontId="11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 vertical="center" wrapText="1"/>
    </xf>
    <xf numFmtId="0" fontId="40" fillId="0" borderId="0" xfId="0" applyFont="1" applyAlignment="1">
      <alignment horizontal="right" vertical="center" wrapText="1"/>
    </xf>
    <xf numFmtId="0" fontId="40" fillId="0" borderId="0" xfId="0" applyFont="1" applyAlignment="1">
      <alignment horizontal="center"/>
    </xf>
    <xf numFmtId="1" fontId="16" fillId="0" borderId="6" xfId="0" applyNumberFormat="1" applyFont="1" applyBorder="1" applyAlignment="1">
      <alignment horizontal="right" vertical="center" wrapText="1"/>
    </xf>
    <xf numFmtId="0" fontId="2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 wrapText="1"/>
    </xf>
    <xf numFmtId="2" fontId="30" fillId="0" borderId="10" xfId="0" applyNumberFormat="1" applyFont="1" applyBorder="1" applyAlignment="1">
      <alignment horizontal="center" vertical="center" wrapText="1"/>
    </xf>
    <xf numFmtId="2" fontId="30" fillId="0" borderId="9" xfId="0" applyNumberFormat="1" applyFont="1" applyBorder="1" applyAlignment="1">
      <alignment horizontal="center" vertical="center" wrapText="1"/>
    </xf>
    <xf numFmtId="2" fontId="34" fillId="0" borderId="9" xfId="0" applyNumberFormat="1" applyFont="1" applyBorder="1" applyAlignment="1">
      <alignment horizontal="center" vertical="center" wrapText="1"/>
    </xf>
    <xf numFmtId="164" fontId="30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52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BF9"/>
      <color rgb="FFE8FCF5"/>
      <color rgb="FFFFE1D1"/>
      <color rgb="FFE2E9FA"/>
      <color rgb="FFFFBFED"/>
      <color rgb="FF8EEECD"/>
      <color rgb="FFFFB58A"/>
      <color rgb="FFB5C8F3"/>
      <color rgb="FFB5C8CB"/>
      <color rgb="FF8DC8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2.xml"/><Relationship Id="rId41" Type="http://schemas.openxmlformats.org/officeDocument/2006/relationships/externalLink" Target="externalLinks/externalLink2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b0'!$B$47:$B$54</c15:sqref>
                  </c15:fullRef>
                </c:ext>
              </c:extLst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'mode+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b0'!$F$59:$F$65</c15:sqref>
                    </c15:fullRef>
                  </c:ext>
                </c:extLst>
                <c:f>'mode+ b0'!$F$59:$F$62</c:f>
                <c:numCache>
                  <c:formatCode>General</c:formatCode>
                  <c:ptCount val="4"/>
                  <c:pt idx="0">
                    <c:v>3.4695185592764672</c:v>
                  </c:pt>
                  <c:pt idx="1">
                    <c:v>3.472962475707472</c:v>
                  </c:pt>
                  <c:pt idx="2">
                    <c:v>3.4635536809671503</c:v>
                  </c:pt>
                  <c:pt idx="3">
                    <c:v>3.470919275961311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b0'!$F$58:$F$65</c15:sqref>
                    </c15:fullRef>
                  </c:ext>
                </c:extLst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b0'!$B$58:$B$65</c15:sqref>
                  </c15:fullRef>
                </c:ext>
              </c:extLst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'mode+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b0'!$F$25,'mode+ b0'!$F$36)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b0'!$F$25,'mode+ b0'!$F$36)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b0'!$F$47,'mode+ b0'!$F$58)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b0'!$F$47,'mode+ b0'!$F$58)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('mode+ b0'!$B$25,'mode+ b0'!$B$36)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b0'!$B$47,'mode+ b0'!$B$58)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'mode+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b0'!$F$26,'mode+ b0'!$F$37)</c:f>
                <c:numCache>
                  <c:formatCode>General</c:formatCode>
                  <c:ptCount val="2"/>
                  <c:pt idx="0">
                    <c:v>16.397774678892503</c:v>
                  </c:pt>
                  <c:pt idx="1">
                    <c:v>80.84368504805002</c:v>
                  </c:pt>
                </c:numCache>
              </c:numRef>
            </c:plus>
            <c:minus>
              <c:numRef>
                <c:f>('mode+ b0'!$F$26,'mode+ b0'!$F$37)</c:f>
                <c:numCache>
                  <c:formatCode>General</c:formatCode>
                  <c:ptCount val="2"/>
                  <c:pt idx="0">
                    <c:v>16.397774678892503</c:v>
                  </c:pt>
                  <c:pt idx="1">
                    <c:v>80.84368504805002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b0'!$F$48,'mode+ b0'!$F$59)</c:f>
                <c:numCache>
                  <c:formatCode>General</c:formatCode>
                  <c:ptCount val="2"/>
                  <c:pt idx="0">
                    <c:v>2.28032790549174</c:v>
                  </c:pt>
                  <c:pt idx="1">
                    <c:v>3.4695185592764672</c:v>
                  </c:pt>
                </c:numCache>
              </c:numRef>
            </c:plus>
            <c:minus>
              <c:numRef>
                <c:f>('mode+ b0'!$F$48,'mode+ b0'!$F$59)</c:f>
                <c:numCache>
                  <c:formatCode>General</c:formatCode>
                  <c:ptCount val="2"/>
                  <c:pt idx="0">
                    <c:v>2.28032790549174</c:v>
                  </c:pt>
                  <c:pt idx="1">
                    <c:v>3.4695185592764672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('mode+ b0'!$B$26,'mode+ b0'!$B$37)</c:f>
              <c:numCache>
                <c:formatCode>0</c:formatCode>
                <c:ptCount val="2"/>
                <c:pt idx="0">
                  <c:v>90.285240771054006</c:v>
                </c:pt>
                <c:pt idx="1">
                  <c:v>293.60752949351303</c:v>
                </c:pt>
              </c:numCache>
            </c:numRef>
          </c:xVal>
          <c:yVal>
            <c:numRef>
              <c:f>('mode+ b0'!$B$48,'mode+ b0'!$B$59)</c:f>
              <c:numCache>
                <c:formatCode>0.0</c:formatCode>
                <c:ptCount val="2"/>
                <c:pt idx="0">
                  <c:v>-2.2252320557365701</c:v>
                </c:pt>
                <c:pt idx="1">
                  <c:v>3.8354463890968402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'mode+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b0'!$F$27,'mode+ b0'!$F$38)</c:f>
                <c:numCache>
                  <c:formatCode>General</c:formatCode>
                  <c:ptCount val="2"/>
                  <c:pt idx="0">
                    <c:v>16.378198861312498</c:v>
                  </c:pt>
                  <c:pt idx="1">
                    <c:v>80.852144423553</c:v>
                  </c:pt>
                </c:numCache>
              </c:numRef>
            </c:plus>
            <c:minus>
              <c:numRef>
                <c:f>('mode+ b0'!$F$27,'mode+ b0'!$F$38)</c:f>
                <c:numCache>
                  <c:formatCode>General</c:formatCode>
                  <c:ptCount val="2"/>
                  <c:pt idx="0">
                    <c:v>16.378198861312498</c:v>
                  </c:pt>
                  <c:pt idx="1">
                    <c:v>80.852144423553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b0'!$F$49,'mode+ b0'!$F$60)</c:f>
                <c:numCache>
                  <c:formatCode>General</c:formatCode>
                  <c:ptCount val="2"/>
                  <c:pt idx="0">
                    <c:v>2.2830533857338002</c:v>
                  </c:pt>
                  <c:pt idx="1">
                    <c:v>3.472962475707472</c:v>
                  </c:pt>
                </c:numCache>
              </c:numRef>
            </c:plus>
            <c:minus>
              <c:numRef>
                <c:f>('mode+ b0'!$F$49,'mode+ b0'!$F$60)</c:f>
                <c:numCache>
                  <c:formatCode>General</c:formatCode>
                  <c:ptCount val="2"/>
                  <c:pt idx="0">
                    <c:v>2.2830533857338002</c:v>
                  </c:pt>
                  <c:pt idx="1">
                    <c:v>3.472962475707472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('mode+ b0'!$B$27,'mode+ b0'!$B$38)</c:f>
              <c:numCache>
                <c:formatCode>0</c:formatCode>
                <c:ptCount val="2"/>
                <c:pt idx="0">
                  <c:v>90.017312438904298</c:v>
                </c:pt>
                <c:pt idx="1">
                  <c:v>292.99545977999901</c:v>
                </c:pt>
              </c:numCache>
            </c:numRef>
          </c:xVal>
          <c:yVal>
            <c:numRef>
              <c:f>('mode+ b0'!$B$49,'mode+ b0'!$B$60)</c:f>
              <c:numCache>
                <c:formatCode>0.0</c:formatCode>
                <c:ptCount val="2"/>
                <c:pt idx="0">
                  <c:v>-1.2644469455390599</c:v>
                </c:pt>
                <c:pt idx="1">
                  <c:v>4.3670221460573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'mode+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b0'!$F$28,'mode+ b0'!$F$39)</c:f>
                <c:numCache>
                  <c:formatCode>General</c:formatCode>
                  <c:ptCount val="2"/>
                  <c:pt idx="0">
                    <c:v>16.410619519563099</c:v>
                  </c:pt>
                  <c:pt idx="1">
                    <c:v>80.830209125801986</c:v>
                  </c:pt>
                </c:numCache>
              </c:numRef>
            </c:plus>
            <c:minus>
              <c:numRef>
                <c:f>('mode+ b0'!$F$28,'mode+ b0'!$F$39)</c:f>
                <c:numCache>
                  <c:formatCode>General</c:formatCode>
                  <c:ptCount val="2"/>
                  <c:pt idx="0">
                    <c:v>16.410619519563099</c:v>
                  </c:pt>
                  <c:pt idx="1">
                    <c:v>80.830209125801986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b0'!$F$50,'mode+ b0'!$F$61)</c:f>
                <c:numCache>
                  <c:formatCode>General</c:formatCode>
                  <c:ptCount val="2"/>
                  <c:pt idx="0">
                    <c:v>2.2683467655334741</c:v>
                  </c:pt>
                  <c:pt idx="1">
                    <c:v>3.4635536809671503</c:v>
                  </c:pt>
                </c:numCache>
              </c:numRef>
            </c:plus>
            <c:minus>
              <c:numRef>
                <c:f>('mode+ b0'!$F$50,'mode+ b0'!$F$61)</c:f>
                <c:numCache>
                  <c:formatCode>General</c:formatCode>
                  <c:ptCount val="2"/>
                  <c:pt idx="0">
                    <c:v>2.2683467655334741</c:v>
                  </c:pt>
                  <c:pt idx="1">
                    <c:v>3.4635536809671503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('mode+ b0'!$B$28,'mode+ b0'!$B$39)</c:f>
              <c:numCache>
                <c:formatCode>0</c:formatCode>
                <c:ptCount val="2"/>
                <c:pt idx="0">
                  <c:v>74.259830267189301</c:v>
                </c:pt>
                <c:pt idx="1">
                  <c:v>280.46367412455697</c:v>
                </c:pt>
              </c:numCache>
            </c:numRef>
          </c:xVal>
          <c:yVal>
            <c:numRef>
              <c:f>('mode+ b0'!$B$50,'mode+ b0'!$B$61)</c:f>
              <c:numCache>
                <c:formatCode>0.0</c:formatCode>
                <c:ptCount val="2"/>
                <c:pt idx="0">
                  <c:v>-0.96658198810346596</c:v>
                </c:pt>
                <c:pt idx="1">
                  <c:v>6.0998067389630002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ajorUnit val="2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b1'!$A$6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554-B856-A1122763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diff,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C-410F-A468-0B1F1B06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v>l_t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8DA0CB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D5-4D93-ABEF-F00922159949}"/>
              </c:ext>
            </c:extLst>
          </c:dPt>
          <c:dPt>
            <c:idx val="1"/>
            <c:marker>
              <c:spPr>
                <a:solidFill>
                  <a:srgbClr val="FFD92F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0D5-4D93-ABEF-F00922159949}"/>
              </c:ext>
            </c:extLst>
          </c:dPt>
          <c:dPt>
            <c:idx val="2"/>
            <c:marker>
              <c:spPr>
                <a:solidFill>
                  <a:srgbClr val="FC8D62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0D5-4D93-ABEF-F00922159949}"/>
              </c:ext>
            </c:extLst>
          </c:dPt>
          <c:dPt>
            <c:idx val="3"/>
            <c:marker>
              <c:spPr>
                <a:solidFill>
                  <a:srgbClr val="66C2A5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0D5-4D93-ABEF-F0092215994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plus>
            <c:minus>
              <c:numRef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  <a:prstDash val="sysDot"/>
              </a:ln>
            </c:spPr>
          </c:errBars>
          <c:cat>
            <c:strRef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'mode+ b0'!$B$29:$B$32</c:f>
              <c:numCache>
                <c:formatCode>0</c:formatCode>
                <c:ptCount val="4"/>
                <c:pt idx="0">
                  <c:v>89.929313512108493</c:v>
                </c:pt>
                <c:pt idx="1">
                  <c:v>86.443824810668701</c:v>
                </c:pt>
                <c:pt idx="2">
                  <c:v>82.8441327885714</c:v>
                </c:pt>
                <c:pt idx="3">
                  <c:v>80.649806356779393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5-4D93-ABEF-F00922159949}"/>
            </c:ext>
          </c:extLst>
        </c:ser>
        <c:ser>
          <c:idx val="3"/>
          <c:order val="1"/>
          <c:tx>
            <c:v>h_t</c:v>
          </c:tx>
          <c:spPr>
            <a:ln w="1905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8DA0CB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0D5-4D93-ABEF-F00922159949}"/>
              </c:ext>
            </c:extLst>
          </c:dPt>
          <c:dPt>
            <c:idx val="1"/>
            <c:marker>
              <c:spPr>
                <a:solidFill>
                  <a:srgbClr val="FFD92F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0D5-4D93-ABEF-F00922159949}"/>
              </c:ext>
            </c:extLst>
          </c:dPt>
          <c:dPt>
            <c:idx val="2"/>
            <c:marker>
              <c:spPr>
                <a:solidFill>
                  <a:srgbClr val="FC8D62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0D5-4D93-ABEF-F00922159949}"/>
              </c:ext>
            </c:extLst>
          </c:dPt>
          <c:dPt>
            <c:idx val="3"/>
            <c:marker>
              <c:spPr>
                <a:solidFill>
                  <a:srgbClr val="66C2A5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0D5-4D93-ABEF-F0092215994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plus>
            <c:minus>
              <c:numRef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  <a:prstDash val="solid"/>
              </a:ln>
            </c:spPr>
          </c:errBars>
          <c:cat>
            <c:strRef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'mode+ b0'!$B$40:$B$43</c:f>
              <c:numCache>
                <c:formatCode>0</c:formatCode>
                <c:ptCount val="4"/>
                <c:pt idx="0">
                  <c:v>294.05119086836402</c:v>
                </c:pt>
                <c:pt idx="1">
                  <c:v>222.26560558993</c:v>
                </c:pt>
                <c:pt idx="2">
                  <c:v>291.53137059724799</c:v>
                </c:pt>
                <c:pt idx="3">
                  <c:v>290.49541298269202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D5-4D93-ABEF-F00922159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969739506795638E-2"/>
              <c:y val="0.283058444587981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0"/>
        <c:minorUnit val="2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v>l_f0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8DA0CB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633-443D-A055-62BADF25FD79}"/>
              </c:ext>
            </c:extLst>
          </c:dPt>
          <c:dPt>
            <c:idx val="1"/>
            <c:marker>
              <c:spPr>
                <a:solidFill>
                  <a:srgbClr val="FFD92F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33-443D-A055-62BADF25FD79}"/>
              </c:ext>
            </c:extLst>
          </c:dPt>
          <c:dPt>
            <c:idx val="2"/>
            <c:marker>
              <c:spPr>
                <a:solidFill>
                  <a:srgbClr val="FC8D62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633-443D-A055-62BADF25FD79}"/>
              </c:ext>
            </c:extLst>
          </c:dPt>
          <c:dPt>
            <c:idx val="3"/>
            <c:marker>
              <c:spPr>
                <a:solidFill>
                  <a:srgbClr val="66C2A5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633-443D-A055-62BADF25FD7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plus>
            <c:minus>
              <c:numRef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  <a:prstDash val="sysDot"/>
              </a:ln>
            </c:spPr>
          </c:errBars>
          <c:cat>
            <c:strRef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'mode+ b0'!$B$51:$B$54</c:f>
              <c:numCache>
                <c:formatCode>0.0</c:formatCode>
                <c:ptCount val="4"/>
                <c:pt idx="0">
                  <c:v>-2.33476525133297</c:v>
                </c:pt>
                <c:pt idx="1">
                  <c:v>0.53316395417173801</c:v>
                </c:pt>
                <c:pt idx="2">
                  <c:v>-1.9878104405222601</c:v>
                </c:pt>
                <c:pt idx="3">
                  <c:v>-8.9523017736445498E-2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3-443D-A055-62BADF25FD79}"/>
            </c:ext>
          </c:extLst>
        </c:ser>
        <c:ser>
          <c:idx val="3"/>
          <c:order val="1"/>
          <c:tx>
            <c:v>h_f0</c:v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8DA0CB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633-443D-A055-62BADF25FD79}"/>
              </c:ext>
            </c:extLst>
          </c:dPt>
          <c:dPt>
            <c:idx val="1"/>
            <c:marker>
              <c:spPr>
                <a:solidFill>
                  <a:srgbClr val="FFD92F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633-443D-A055-62BADF25FD79}"/>
              </c:ext>
            </c:extLst>
          </c:dPt>
          <c:dPt>
            <c:idx val="2"/>
            <c:marker>
              <c:spPr>
                <a:solidFill>
                  <a:srgbClr val="FC8D62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33-443D-A055-62BADF25FD79}"/>
              </c:ext>
            </c:extLst>
          </c:dPt>
          <c:dPt>
            <c:idx val="3"/>
            <c:marker>
              <c:spPr>
                <a:solidFill>
                  <a:srgbClr val="66C2A5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633-443D-A055-62BADF25FD7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'mode+ b0'!$F$62:$F$65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3.2451076126833023</c:v>
                  </c:pt>
                  <c:pt idx="2">
                    <c:v>3.31107351419951</c:v>
                  </c:pt>
                  <c:pt idx="3">
                    <c:v>3.3787655961873404</c:v>
                  </c:pt>
                </c:numCache>
              </c:numRef>
            </c:plus>
            <c:minus>
              <c:numRef>
                <c:f>'mode+ b0'!$F$62:$F$65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3.2451076126833023</c:v>
                  </c:pt>
                  <c:pt idx="2">
                    <c:v>3.31107351419951</c:v>
                  </c:pt>
                  <c:pt idx="3">
                    <c:v>3.3787655961873404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  <a:prstDash val="solid"/>
              </a:ln>
            </c:spPr>
          </c:errBars>
          <c:cat>
            <c:strRef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'mode+ b0'!$B$62:$B$65</c:f>
              <c:numCache>
                <c:formatCode>0.0</c:formatCode>
                <c:ptCount val="4"/>
                <c:pt idx="0">
                  <c:v>3.4168136826367101</c:v>
                </c:pt>
                <c:pt idx="1">
                  <c:v>3.2183699671122299</c:v>
                </c:pt>
                <c:pt idx="2">
                  <c:v>6.68677793994088</c:v>
                </c:pt>
                <c:pt idx="3">
                  <c:v>6.3112649583948404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33-443D-A055-62BADF25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"/>
          <c:min val="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med.)</a:t>
                </a:r>
              </a:p>
            </c:rich>
          </c:tx>
          <c:layout>
            <c:manualLayout>
              <c:xMode val="edge"/>
              <c:yMode val="edge"/>
              <c:x val="5.4897316108466945E-2"/>
              <c:y val="0.204298512316372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6962481962483"/>
          <c:y val="6.4881534306633751E-2"/>
          <c:w val="0.75903354978354975"/>
          <c:h val="0.7100682486862302"/>
        </c:manualLayout>
      </c:layout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A43-4D96-AD2F-D5A0ABBC2293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43-4D96-AD2F-D5A0ABBC2293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43-4D96-AD2F-D5A0ABBC229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b1'!$J$5,'PA b1'!$J$11,'PA b1'!$J$17,'PA b1'!$J$23,'PA b1'!$J$29,'PA b1'!$J$35)</c:f>
                <c:numCache>
                  <c:formatCode>General</c:formatCode>
                  <c:ptCount val="6"/>
                  <c:pt idx="0">
                    <c:v>16.04221410089993</c:v>
                  </c:pt>
                  <c:pt idx="1">
                    <c:v>7.5968301535585701</c:v>
                  </c:pt>
                  <c:pt idx="2">
                    <c:v>5.0035778058411289</c:v>
                  </c:pt>
                  <c:pt idx="3">
                    <c:v>17.290587148923947</c:v>
                  </c:pt>
                  <c:pt idx="4">
                    <c:v>15.881461122776441</c:v>
                  </c:pt>
                  <c:pt idx="5">
                    <c:v>7.7928137635344612</c:v>
                  </c:pt>
                </c:numCache>
              </c:numRef>
            </c:plus>
            <c:minus>
              <c:numRef>
                <c:f>('PA b1'!$J$5,'PA b1'!$J$11,'PA b1'!$J$17,'PA b1'!$J$23,'PA b1'!$J$29,'PA b1'!$J$35)</c:f>
                <c:numCache>
                  <c:formatCode>General</c:formatCode>
                  <c:ptCount val="6"/>
                  <c:pt idx="0">
                    <c:v>16.04221410089993</c:v>
                  </c:pt>
                  <c:pt idx="1">
                    <c:v>7.5968301535585701</c:v>
                  </c:pt>
                  <c:pt idx="2">
                    <c:v>5.0035778058411289</c:v>
                  </c:pt>
                  <c:pt idx="3">
                    <c:v>17.290587148923947</c:v>
                  </c:pt>
                  <c:pt idx="4">
                    <c:v>15.881461122776441</c:v>
                  </c:pt>
                  <c:pt idx="5">
                    <c:v>7.7928137635344612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 ^[L*]H</c:v>
                </c:pt>
                <c:pt idx="1">
                  <c:v>L*H L*^[H]</c:v>
                </c:pt>
                <c:pt idx="2">
                  <c:v>L*H ^[L*H]</c:v>
                </c:pt>
                <c:pt idx="3">
                  <c:v>^[L]*H L*^[H]</c:v>
                </c:pt>
                <c:pt idx="4">
                  <c:v>^[L]*H ^[L*H]</c:v>
                </c:pt>
                <c:pt idx="5">
                  <c:v>L*^[H] ^[L*H]</c:v>
                </c:pt>
              </c:strCache>
            </c:strRef>
          </c:cat>
          <c:val>
            <c:numRef>
              <c:f>('PA b1'!$B$5,'PA b1'!$B$11,'PA b1'!$B$17,'PA b1'!$B$23,'PA b1'!$B$29,'PA b1'!$B$35)</c:f>
              <c:numCache>
                <c:formatCode>0</c:formatCode>
                <c:ptCount val="6"/>
                <c:pt idx="0">
                  <c:v>-3.4855408380506701</c:v>
                </c:pt>
                <c:pt idx="1">
                  <c:v>-7.0852176785093297</c:v>
                </c:pt>
                <c:pt idx="2">
                  <c:v>-9.2795679617357703</c:v>
                </c:pt>
                <c:pt idx="3">
                  <c:v>-3.5996822962942501</c:v>
                </c:pt>
                <c:pt idx="4">
                  <c:v>-5.7940204712960597</c:v>
                </c:pt>
                <c:pt idx="5">
                  <c:v>-2.1943427470129699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D96-AD2F-D5A0ABBC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0"/>
        <c:minorUnit val="2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6962481962483"/>
          <c:y val="6.4881534306633751E-2"/>
          <c:w val="0.75903354978354975"/>
          <c:h val="0.7100682486862302"/>
        </c:manualLayout>
      </c:layout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50-4C17-A14F-BB1D58FF449D}"/>
              </c:ext>
            </c:extLst>
          </c:dPt>
          <c:dPt>
            <c:idx val="2"/>
            <c:marker>
              <c:symbol val="diamond"/>
              <c:size val="7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0-4C17-A14F-BB1D58FF449D}"/>
              </c:ext>
            </c:extLst>
          </c:dPt>
          <c:dPt>
            <c:idx val="5"/>
            <c:marker>
              <c:symbol val="diamond"/>
              <c:size val="7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50-4C17-A14F-BB1D58FF449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b1'!$J$6,'PA b1'!$J$12,'PA b1'!$J$18,'PA b1'!$J$24,'PA b1'!$J$30,'PA b1'!$J$36)</c:f>
                <c:numCache>
                  <c:formatCode>General</c:formatCode>
                  <c:ptCount val="6"/>
                  <c:pt idx="0">
                    <c:v>23.74366490905409</c:v>
                  </c:pt>
                  <c:pt idx="1">
                    <c:v>11.21043789273606</c:v>
                  </c:pt>
                  <c:pt idx="2">
                    <c:v>7.3376253669552192</c:v>
                  </c:pt>
                  <c:pt idx="3">
                    <c:v>25.571930577347104</c:v>
                  </c:pt>
                  <c:pt idx="4">
                    <c:v>23.500441297029106</c:v>
                  </c:pt>
                  <c:pt idx="5">
                    <c:v>11.50345847545565</c:v>
                  </c:pt>
                </c:numCache>
              </c:numRef>
            </c:plus>
            <c:minus>
              <c:numRef>
                <c:f>('PA b1'!$J$6,'PA b1'!$J$12,'PA b1'!$J$18,'PA b1'!$J$24,'PA b1'!$J$30,'PA b1'!$J$36)</c:f>
                <c:numCache>
                  <c:formatCode>General</c:formatCode>
                  <c:ptCount val="6"/>
                  <c:pt idx="0">
                    <c:v>23.74366490905409</c:v>
                  </c:pt>
                  <c:pt idx="1">
                    <c:v>11.21043789273606</c:v>
                  </c:pt>
                  <c:pt idx="2">
                    <c:v>7.3376253669552192</c:v>
                  </c:pt>
                  <c:pt idx="3">
                    <c:v>25.571930577347104</c:v>
                  </c:pt>
                  <c:pt idx="4">
                    <c:v>23.500441297029106</c:v>
                  </c:pt>
                  <c:pt idx="5">
                    <c:v>11.50345847545565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 ^[L*]H</c:v>
                </c:pt>
                <c:pt idx="1">
                  <c:v>L*H L*^[H]</c:v>
                </c:pt>
                <c:pt idx="2">
                  <c:v>L*H ^[L*H]</c:v>
                </c:pt>
                <c:pt idx="3">
                  <c:v>^[L]*H L*^[H]</c:v>
                </c:pt>
                <c:pt idx="4">
                  <c:v>^[L]*H ^[L*H]</c:v>
                </c:pt>
                <c:pt idx="5">
                  <c:v>L*^[H] ^[L*H]</c:v>
                </c:pt>
              </c:strCache>
            </c:strRef>
          </c:cat>
          <c:val>
            <c:numRef>
              <c:f>('PA b1'!$B$6,'PA b1'!$B$12,'PA b1'!$B$18,'PA b1'!$B$24,'PA b1'!$B$30,'PA b1'!$B$36)</c:f>
              <c:numCache>
                <c:formatCode>0</c:formatCode>
                <c:ptCount val="6"/>
                <c:pt idx="0">
                  <c:v>-71.785585283959605</c:v>
                </c:pt>
                <c:pt idx="1">
                  <c:v>-2.51982027117334</c:v>
                </c:pt>
                <c:pt idx="2">
                  <c:v>-3.55577788582498</c:v>
                </c:pt>
                <c:pt idx="3">
                  <c:v>69.265765002492302</c:v>
                </c:pt>
                <c:pt idx="4">
                  <c:v>68.229807389997106</c:v>
                </c:pt>
                <c:pt idx="5">
                  <c:v>-1.0359576147043501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0-4C17-A14F-BB1D58FF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0"/>
        <c:minorUnit val="2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6962481962483"/>
          <c:y val="6.4881534306633751E-2"/>
          <c:w val="0.75903354978354975"/>
          <c:h val="0.71006822094990496"/>
        </c:manualLayout>
      </c:layout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4B-4906-B0EB-EC2A68B9BAEF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4B-4906-B0EB-EC2A68B9BAEF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4B-4906-B0EB-EC2A68B9BAEF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4B-4906-B0EB-EC2A68B9BAE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b1'!$J$3,'PA b1'!$J$9,'PA b1'!$J$15,'PA b1'!$J$21,'PA b1'!$J$27,'PA b1'!$J$33)</c:f>
                <c:numCache>
                  <c:formatCode>General</c:formatCode>
                  <c:ptCount val="6"/>
                  <c:pt idx="0">
                    <c:v>1.1187710546512901</c:v>
                  </c:pt>
                  <c:pt idx="1">
                    <c:v>0.54375225169183206</c:v>
                  </c:pt>
                  <c:pt idx="2">
                    <c:v>0.35151050540290996</c:v>
                  </c:pt>
                  <c:pt idx="3">
                    <c:v>1.21290763609943</c:v>
                  </c:pt>
                  <c:pt idx="4">
                    <c:v>1.1070304965264111</c:v>
                  </c:pt>
                  <c:pt idx="5">
                    <c:v>0.54951517276521011</c:v>
                  </c:pt>
                </c:numCache>
              </c:numRef>
            </c:plus>
            <c:minus>
              <c:numRef>
                <c:f>('PA b1'!$J$3,'PA b1'!$J$9,'PA b1'!$J$15,'PA b1'!$J$21,'PA b1'!$J$27,'PA b1'!$J$33)</c:f>
                <c:numCache>
                  <c:formatCode>General</c:formatCode>
                  <c:ptCount val="6"/>
                  <c:pt idx="0">
                    <c:v>1.1187710546512901</c:v>
                  </c:pt>
                  <c:pt idx="1">
                    <c:v>0.54375225169183206</c:v>
                  </c:pt>
                  <c:pt idx="2">
                    <c:v>0.35151050540290996</c:v>
                  </c:pt>
                  <c:pt idx="3">
                    <c:v>1.21290763609943</c:v>
                  </c:pt>
                  <c:pt idx="4">
                    <c:v>1.1070304965264111</c:v>
                  </c:pt>
                  <c:pt idx="5">
                    <c:v>0.54951517276521011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 ^[L*]H</c:v>
                </c:pt>
                <c:pt idx="1">
                  <c:v>L*H L*^[H]</c:v>
                </c:pt>
                <c:pt idx="2">
                  <c:v>L*H ^[L*H]</c:v>
                </c:pt>
                <c:pt idx="3">
                  <c:v>^[L]*H L*^[H]</c:v>
                </c:pt>
                <c:pt idx="4">
                  <c:v>^[L]*H ^[L*H]</c:v>
                </c:pt>
                <c:pt idx="5">
                  <c:v>L*^[H] ^[L*H]</c:v>
                </c:pt>
              </c:strCache>
            </c:strRef>
          </c:cat>
          <c:val>
            <c:numRef>
              <c:f>('PA b1'!$B$3,'PA b1'!$B$9,'PA b1'!$B$15,'PA b1'!$B$21,'PA b1'!$B$27,'PA b1'!$B$33)</c:f>
              <c:numCache>
                <c:formatCode>0.0</c:formatCode>
                <c:ptCount val="6"/>
                <c:pt idx="0">
                  <c:v>2.8679292069280402</c:v>
                </c:pt>
                <c:pt idx="1">
                  <c:v>0.34695481077673501</c:v>
                </c:pt>
                <c:pt idx="2">
                  <c:v>2.2452422339776898</c:v>
                </c:pt>
                <c:pt idx="3">
                  <c:v>-2.52097439543846</c:v>
                </c:pt>
                <c:pt idx="4">
                  <c:v>-0.62268697229144898</c:v>
                </c:pt>
                <c:pt idx="5">
                  <c:v>1.8982874232062901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B-4906-B0EB-EC2A68B9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b1'!$J$10,'mode b1'!$J$15,'mode b1'!$J$20,'mode b1'!$J$25,'mode b1'!$J$30)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b1'!$J$4,'mode b1'!$J$10,'mode b1'!$J$15,'mode b1'!$J$20,'mode b1'!$J$25,'mode b1'!$J$30)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difference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6962481962483"/>
          <c:y val="6.4881534306633751E-2"/>
          <c:w val="0.78194119769119752"/>
          <c:h val="0.70871810340359542"/>
        </c:manualLayout>
      </c:layout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D2-449A-860C-5FE129D2D4F2}"/>
              </c:ext>
            </c:extLst>
          </c:dPt>
          <c:dPt>
            <c:idx val="5"/>
            <c:marker>
              <c:symbol val="diamond"/>
              <c:size val="7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D2-449A-860C-5FE129D2D4F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b1'!$J$4,'PA b1'!$J$10,'PA b1'!$J$16,'PA b1'!$J$22,'PA b1'!$J$28,'PA b1'!$J$34)</c:f>
                <c:numCache>
                  <c:formatCode>General</c:formatCode>
                  <c:ptCount val="6"/>
                  <c:pt idx="0">
                    <c:v>1.589303334791917</c:v>
                  </c:pt>
                  <c:pt idx="1">
                    <c:v>0.75189537015402985</c:v>
                  </c:pt>
                  <c:pt idx="2">
                    <c:v>0.49278445827574968</c:v>
                  </c:pt>
                  <c:pt idx="3">
                    <c:v>1.7165348798434701</c:v>
                  </c:pt>
                  <c:pt idx="4">
                    <c:v>1.5714714692939302</c:v>
                  </c:pt>
                  <c:pt idx="5">
                    <c:v>0.77076156010904007</c:v>
                  </c:pt>
                </c:numCache>
              </c:numRef>
            </c:plus>
            <c:minus>
              <c:numRef>
                <c:f>('PA b1'!$J$4,'PA b1'!$J$10,'PA b1'!$J$16,'PA b1'!$J$22,'PA b1'!$J$28,'PA b1'!$J$34)</c:f>
                <c:numCache>
                  <c:formatCode>General</c:formatCode>
                  <c:ptCount val="6"/>
                  <c:pt idx="0">
                    <c:v>1.589303334791917</c:v>
                  </c:pt>
                  <c:pt idx="1">
                    <c:v>0.75189537015402985</c:v>
                  </c:pt>
                  <c:pt idx="2">
                    <c:v>0.49278445827574968</c:v>
                  </c:pt>
                  <c:pt idx="3">
                    <c:v>1.7165348798434701</c:v>
                  </c:pt>
                  <c:pt idx="4">
                    <c:v>1.5714714692939302</c:v>
                  </c:pt>
                  <c:pt idx="5">
                    <c:v>0.77076156010904007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 ^[L*]H</c:v>
                </c:pt>
                <c:pt idx="1">
                  <c:v>L*H L*^[H]</c:v>
                </c:pt>
                <c:pt idx="2">
                  <c:v>L*H ^[L*H]</c:v>
                </c:pt>
                <c:pt idx="3">
                  <c:v>^[L]*H L*^[H]</c:v>
                </c:pt>
                <c:pt idx="4">
                  <c:v>^[L]*H ^[L*H]</c:v>
                </c:pt>
                <c:pt idx="5">
                  <c:v>L*^[H] ^[L*H]</c:v>
                </c:pt>
              </c:strCache>
            </c:strRef>
          </c:cat>
          <c:val>
            <c:numRef>
              <c:f>('PA b1'!$B$4,'PA b1'!$B$10,'PA b1'!$B$16,'PA b1'!$B$22,'PA b1'!$B$28,'PA b1'!$B$34)</c:f>
              <c:numCache>
                <c:formatCode>0.0</c:formatCode>
                <c:ptCount val="6"/>
                <c:pt idx="0">
                  <c:v>-0.19844371521982301</c:v>
                </c:pt>
                <c:pt idx="1">
                  <c:v>3.2699642576496899</c:v>
                </c:pt>
                <c:pt idx="2">
                  <c:v>2.8944512760333798</c:v>
                </c:pt>
                <c:pt idx="3">
                  <c:v>3.4684079732185902</c:v>
                </c:pt>
                <c:pt idx="4">
                  <c:v>3.0928949915396902</c:v>
                </c:pt>
                <c:pt idx="5">
                  <c:v>-0.37551298159564001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2-449A-860C-5FE129D2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79103535353532"/>
          <c:y val="3.0045943394106645E-2"/>
          <c:w val="0.73784532828282823"/>
          <c:h val="0.74592896815305065"/>
        </c:manualLayout>
      </c:layout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868-4DC2-BD7D-E955D1B8D7E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b1'!$J$11,'PA b1'!$J$17,'PA b1'!$J$35)</c:f>
                <c:numCache>
                  <c:formatCode>General</c:formatCode>
                  <c:ptCount val="3"/>
                  <c:pt idx="0">
                    <c:v>7.5968301535585701</c:v>
                  </c:pt>
                  <c:pt idx="1">
                    <c:v>5.0035778058411289</c:v>
                  </c:pt>
                  <c:pt idx="2">
                    <c:v>7.7928137635344612</c:v>
                  </c:pt>
                </c:numCache>
              </c:numRef>
            </c:plus>
            <c:minus>
              <c:numRef>
                <c:f>('PA b1'!$J$11,'PA b1'!$J$17,'PA b1'!$J$35)</c:f>
                <c:numCache>
                  <c:formatCode>General</c:formatCode>
                  <c:ptCount val="3"/>
                  <c:pt idx="0">
                    <c:v>7.5968301535585701</c:v>
                  </c:pt>
                  <c:pt idx="1">
                    <c:v>5.0035778058411289</c:v>
                  </c:pt>
                  <c:pt idx="2">
                    <c:v>7.7928137635344612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 L*^[H]</c:v>
                </c:pt>
                <c:pt idx="1">
                  <c:v>L*H ^[L*H]</c:v>
                </c:pt>
                <c:pt idx="2">
                  <c:v>L*^[H] ^[L*H]</c:v>
                </c:pt>
              </c:strCache>
            </c:strRef>
          </c:cat>
          <c:val>
            <c:numRef>
              <c:f>('PA b1'!$B$11,'PA b1'!$B$17,'PA b1'!$B$35)</c:f>
              <c:numCache>
                <c:formatCode>0</c:formatCode>
                <c:ptCount val="3"/>
                <c:pt idx="0">
                  <c:v>-7.0852176785093297</c:v>
                </c:pt>
                <c:pt idx="1">
                  <c:v>-9.2795679617357703</c:v>
                </c:pt>
                <c:pt idx="2">
                  <c:v>-2.1943427470129699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8-4DC2-BD7D-E955D1B8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5946969696969682E-3"/>
              <c:y val="0.24322668541270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0"/>
        <c:min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04728132387707"/>
          <c:y val="3.004613935969868E-2"/>
          <c:w val="0.73918971631205677"/>
          <c:h val="0.75121652189648935"/>
        </c:manualLayout>
      </c:layout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b1'!$J$12,'PA b1'!$J$18,'PA b1'!$J$36)</c:f>
                <c:numCache>
                  <c:formatCode>General</c:formatCode>
                  <c:ptCount val="3"/>
                  <c:pt idx="0">
                    <c:v>11.21043789273606</c:v>
                  </c:pt>
                  <c:pt idx="1">
                    <c:v>7.3376253669552192</c:v>
                  </c:pt>
                  <c:pt idx="2">
                    <c:v>11.50345847545565</c:v>
                  </c:pt>
                </c:numCache>
              </c:numRef>
            </c:plus>
            <c:minus>
              <c:numRef>
                <c:f>('PA b1'!$J$12,'PA b1'!$J$18,'PA b1'!$J$36)</c:f>
                <c:numCache>
                  <c:formatCode>General</c:formatCode>
                  <c:ptCount val="3"/>
                  <c:pt idx="0">
                    <c:v>11.21043789273606</c:v>
                  </c:pt>
                  <c:pt idx="1">
                    <c:v>7.3376253669552192</c:v>
                  </c:pt>
                  <c:pt idx="2">
                    <c:v>11.50345847545565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 L*^[H]</c:v>
                </c:pt>
                <c:pt idx="1">
                  <c:v>L*H ^[L*H]</c:v>
                </c:pt>
                <c:pt idx="2">
                  <c:v>L*^[H] ^[L*H]</c:v>
                </c:pt>
              </c:strCache>
            </c:strRef>
          </c:cat>
          <c:val>
            <c:numRef>
              <c:f>('PA b1'!$B$12,'PA b1'!$B$18,'PA b1'!$B$36)</c:f>
              <c:numCache>
                <c:formatCode>0</c:formatCode>
                <c:ptCount val="3"/>
                <c:pt idx="0">
                  <c:v>-2.51982027117334</c:v>
                </c:pt>
                <c:pt idx="1">
                  <c:v>-3.55577788582498</c:v>
                </c:pt>
                <c:pt idx="2">
                  <c:v>-1.0359576147043501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8BB-8BBA-90938C74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est. diff. (ms)</a:t>
                </a:r>
              </a:p>
            </c:rich>
          </c:tx>
          <c:layout>
            <c:manualLayout>
              <c:xMode val="edge"/>
              <c:yMode val="edge"/>
              <c:x val="6.0462962962962961E-3"/>
              <c:y val="0.26069240273330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0"/>
        <c:min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6962481962483"/>
          <c:y val="3.004613935969868E-2"/>
          <c:w val="0.70826849891281574"/>
          <c:h val="0.63127485483262014"/>
        </c:manualLayout>
      </c:layout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EC6-40AB-9A5E-46654C7C9CF6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EC6-40AB-9A5E-46654C7C9CF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b1'!$J$9,'PA b1'!$J$15,'PA b1'!$J$33)</c:f>
                <c:numCache>
                  <c:formatCode>General</c:formatCode>
                  <c:ptCount val="3"/>
                  <c:pt idx="0">
                    <c:v>0.54375225169183206</c:v>
                  </c:pt>
                  <c:pt idx="1">
                    <c:v>0.35151050540290996</c:v>
                  </c:pt>
                  <c:pt idx="2">
                    <c:v>0.54951517276521011</c:v>
                  </c:pt>
                </c:numCache>
              </c:numRef>
            </c:plus>
            <c:minus>
              <c:numRef>
                <c:f>('PA b1'!$J$9,'PA b1'!$J$15,'PA b1'!$J$33)</c:f>
                <c:numCache>
                  <c:formatCode>General</c:formatCode>
                  <c:ptCount val="3"/>
                  <c:pt idx="0">
                    <c:v>0.54375225169183206</c:v>
                  </c:pt>
                  <c:pt idx="1">
                    <c:v>0.35151050540290996</c:v>
                  </c:pt>
                  <c:pt idx="2">
                    <c:v>0.54951517276521011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 L*^[H]</c:v>
                </c:pt>
                <c:pt idx="1">
                  <c:v>L*H ^[L*H]</c:v>
                </c:pt>
                <c:pt idx="2">
                  <c:v>L*^[H] ^[L*H]</c:v>
                </c:pt>
              </c:strCache>
            </c:strRef>
          </c:cat>
          <c:val>
            <c:numRef>
              <c:f>('PA b1'!$B$9,'PA b1'!$B$15,'PA b1'!$B$33)</c:f>
              <c:numCache>
                <c:formatCode>0.0</c:formatCode>
                <c:ptCount val="3"/>
                <c:pt idx="0">
                  <c:v>0.34695481077673501</c:v>
                </c:pt>
                <c:pt idx="1">
                  <c:v>2.2452422339776898</c:v>
                </c:pt>
                <c:pt idx="2">
                  <c:v>1.8982874232062901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6-40AB-9A5E-46654C7C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est. diff. (ST)</a:t>
                </a:r>
              </a:p>
            </c:rich>
          </c:tx>
          <c:layout>
            <c:manualLayout>
              <c:xMode val="edge"/>
              <c:yMode val="edge"/>
              <c:x val="2.7574525745257389E-4"/>
              <c:y val="0.24904767690011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6962481962483"/>
          <c:y val="3.004613935969868E-2"/>
          <c:w val="0.70826849891281574"/>
          <c:h val="0.63127485483262014"/>
        </c:manualLayout>
      </c:layout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082-4FDD-BEB1-0A459187EA98}"/>
              </c:ext>
            </c:extLst>
          </c:dPt>
          <c:dPt>
            <c:idx val="1"/>
            <c:marker>
              <c:symbol val="diamond"/>
              <c:size val="7"/>
              <c:spPr>
                <a:solidFill>
                  <a:srgbClr val="E6610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82-4FDD-BEB1-0A459187EA9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b1'!$J$10,'PA b1'!$J$16,'PA b1'!$J$34)</c:f>
                <c:numCache>
                  <c:formatCode>General</c:formatCode>
                  <c:ptCount val="3"/>
                  <c:pt idx="0">
                    <c:v>0.75189537015402985</c:v>
                  </c:pt>
                  <c:pt idx="1">
                    <c:v>0.49278445827574968</c:v>
                  </c:pt>
                  <c:pt idx="2">
                    <c:v>0.77076156010904007</c:v>
                  </c:pt>
                </c:numCache>
              </c:numRef>
            </c:plus>
            <c:minus>
              <c:numRef>
                <c:f>('PA b1'!$J$10,'PA b1'!$J$16,'PA b1'!$J$34)</c:f>
                <c:numCache>
                  <c:formatCode>General</c:formatCode>
                  <c:ptCount val="3"/>
                  <c:pt idx="0">
                    <c:v>0.75189537015402985</c:v>
                  </c:pt>
                  <c:pt idx="1">
                    <c:v>0.49278445827574968</c:v>
                  </c:pt>
                  <c:pt idx="2">
                    <c:v>0.77076156010904007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 L*^[H]</c:v>
                </c:pt>
                <c:pt idx="1">
                  <c:v>L*H ^[L*H]</c:v>
                </c:pt>
                <c:pt idx="2">
                  <c:v>L*^[H] ^[L*H]</c:v>
                </c:pt>
              </c:strCache>
            </c:strRef>
          </c:cat>
          <c:val>
            <c:numRef>
              <c:f>('PA b1'!$B$10,'PA b1'!$B$16,'PA b1'!$B$34)</c:f>
              <c:numCache>
                <c:formatCode>0.0</c:formatCode>
                <c:ptCount val="3"/>
                <c:pt idx="0">
                  <c:v>3.2699642576496899</c:v>
                </c:pt>
                <c:pt idx="1">
                  <c:v>2.8944512760333798</c:v>
                </c:pt>
                <c:pt idx="2">
                  <c:v>-0.37551298159564001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2-4FDD-BEB1-0A459187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(ST)</a:t>
                </a:r>
              </a:p>
            </c:rich>
          </c:tx>
          <c:layout>
            <c:manualLayout>
              <c:xMode val="edge"/>
              <c:yMode val="edge"/>
              <c:x val="1.4889061640456925E-3"/>
              <c:y val="0.2374029510669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A-4FF6-A312-4A4D751089CF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plus>
            <c:min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plus>
            <c:min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A-4FF6-A312-4A4D751089CF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plus>
            <c:min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plus>
            <c:min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A-4FF6-A312-4A4D751089CF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AC1A-4FF6-A312-4A4D751089C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plus>
            <c:min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plus>
            <c:min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1A-4FF6-A312-4A4D7510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832607692462029"/>
          <c:y val="0.20281573097563069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5-412D-87FB-959FBBF3A782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plus>
            <c:min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plus>
            <c:min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5-412D-87FB-959FBBF3A782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plus>
            <c:min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plus>
            <c:min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F5-412D-87FB-959FBBF3A782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E0F5-412D-87FB-959FBBF3A78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plus>
            <c:min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plus>
            <c:min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5-412D-87FB-959FBBF3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E9CA-46FC-A452-EF9387954598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A-46FC-A452-EF9387954598}"/>
            </c:ext>
          </c:extLst>
        </c:ser>
        <c:ser>
          <c:idx val="2"/>
          <c:order val="1"/>
          <c:tx>
            <c:v>L mode only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A-46FC-A452-EF9387954598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plus>
            <c:min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A-46FC-A452-EF9387954598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A-46FC-A452-EF938795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median)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alignment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7F0-A14D-1374D8129749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7F0-A14D-1374D8129749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5-47F0-A14D-1374D8129749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5-47F0-A14D-1374D812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5D42-48EE-982F-FADCA1A1EF4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2-48EE-982F-FADCA1A1EF48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2-48EE-982F-FADCA1A1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3.4168136826367101</c:v>
                      </c:pt>
                      <c:pt idx="1">
                        <c:v>3.8354463890968402</c:v>
                      </c:pt>
                      <c:pt idx="2">
                        <c:v>4.3670221460573</c:v>
                      </c:pt>
                      <c:pt idx="3">
                        <c:v>6.0998067389630002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42-48EE-982F-FADCA1A1EF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-2.33476525133297</c:v>
                      </c:pt>
                      <c:pt idx="1">
                        <c:v>-2.2252320557365701</c:v>
                      </c:pt>
                      <c:pt idx="2">
                        <c:v>-1.2644469455390599</c:v>
                      </c:pt>
                      <c:pt idx="3">
                        <c:v>-0.96658198810346596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42-48EE-982F-FADCA1A1EF48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median)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alignment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9-4AF1-9BE9-D5C178C43535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9-4AF1-9BE9-D5C178C4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294.05119086836402</c:v>
                      </c:pt>
                      <c:pt idx="1">
                        <c:v>293.60752949351303</c:v>
                      </c:pt>
                      <c:pt idx="2">
                        <c:v>292.99545977999901</c:v>
                      </c:pt>
                      <c:pt idx="3">
                        <c:v>280.46367412455697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09-4AF1-9BE9-D5C178C435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89.929313512108493</c:v>
                      </c:pt>
                      <c:pt idx="1">
                        <c:v>90.285240771054006</c:v>
                      </c:pt>
                      <c:pt idx="2">
                        <c:v>90.017312438904298</c:v>
                      </c:pt>
                      <c:pt idx="3">
                        <c:v>74.259830267189301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09-4AF1-9BE9-D5C178C43535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 MWH</c:v>
                </c:pt>
                <c:pt idx="1">
                  <c:v>MWH MYN</c:v>
                </c:pt>
                <c:pt idx="2">
                  <c:v>MDC MYN</c:v>
                </c:pt>
                <c:pt idx="3">
                  <c:v>MYN  MDQ</c:v>
                </c:pt>
                <c:pt idx="4">
                  <c:v>MWH MDQ</c:v>
                </c:pt>
                <c:pt idx="5">
                  <c:v>MDC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1.31365061523257</c:v>
                </c:pt>
                <c:pt idx="2">
                  <c:v>1.7186864407115801</c:v>
                </c:pt>
                <c:pt idx="3">
                  <c:v>2.7920354879932998</c:v>
                </c:pt>
                <c:pt idx="4">
                  <c:v>4.1056861031877903</c:v>
                </c:pt>
                <c:pt idx="5">
                  <c:v>4.5107219286374303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6-4D21-A801-B049366174A8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 MWH</c:v>
                </c:pt>
                <c:pt idx="1">
                  <c:v>MWH MYN</c:v>
                </c:pt>
                <c:pt idx="2">
                  <c:v>MDC MYN</c:v>
                </c:pt>
                <c:pt idx="3">
                  <c:v>MYN  MDQ</c:v>
                </c:pt>
                <c:pt idx="4">
                  <c:v>MWH MDQ</c:v>
                </c:pt>
                <c:pt idx="5">
                  <c:v>MDC MDQ</c:v>
                </c:pt>
              </c:strCache>
            </c:strRef>
          </c:cat>
          <c:val>
            <c:numRef>
              <c:f>('mode+ b1'!$B$4,'mode+ b1'!$B$19,'mode+ b1'!$B$9,'mode+ b1'!$B$29,'mode+ b1'!$B$24,'mode+ b1'!$B$14)</c:f>
              <c:numCache>
                <c:formatCode>0.0</c:formatCode>
                <c:ptCount val="6"/>
                <c:pt idx="0">
                  <c:v>0.418632707057913</c:v>
                </c:pt>
                <c:pt idx="1">
                  <c:v>0.53157575643416399</c:v>
                </c:pt>
                <c:pt idx="2">
                  <c:v>0.95020846342850596</c:v>
                </c:pt>
                <c:pt idx="3">
                  <c:v>1.7327845929102901</c:v>
                </c:pt>
                <c:pt idx="4">
                  <c:v>2.2643603496509299</c:v>
                </c:pt>
                <c:pt idx="5">
                  <c:v>2.68299305635112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6-4D21-A801-B04936617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differences</a:t>
                </a:r>
                <a:r>
                  <a:rPr lang="en-US"/>
                  <a:t> in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3-41D4-B10D-FD5F12B419A8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3-41D4-B10D-FD5F12B4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l_t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0-4C92-A57C-0047CAC1EFFF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0-4C92-A57C-0047CAC1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2.7780712076132946E-2"/>
              <c:y val="0.25802800767984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 sz="800" b="0"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slopes of for l_f0</a:t>
            </a:r>
            <a:endParaRPr lang="en-IE" sz="9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5FB-99A5-0089D53C2085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5FB-99A5-0089D53C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1.8894533968611484E-2"/>
              <c:y val="0.2657420634920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h_t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6-43D7-848E-40691B017445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6-43D7-848E-40691B01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3.8604797979797975E-2"/>
              <c:y val="0.26300321586488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 sz="800" b="0"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Pairwise comparison slopes of for h_f0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A-4FF1-B260-557FE0F6FF79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A-4FF1-B260-557FE0F6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3.4271148989898984E-2"/>
              <c:y val="0.2673769841269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9-4A1B-8813-C724288BDCE9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9-4A1B-8813-C724288B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5.0930239267416424E-2"/>
              <c:y val="0.2472994073195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F-4A4F-94B4-F6C9E52206CF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F-4A4F-94B4-F6C9E522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4.9546824728247077E-2"/>
              <c:y val="0.2517848906184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4-4A49-AA1F-721BA3C6ECF0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4-4A49-AA1F-721BA3C6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comps!$B$49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5.0269130965792781E-2"/>
              <c:y val="0.25297436551010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</a:t>
                </a:r>
                <a:r>
                  <a:rPr lang="en-US" baseline="0"/>
                  <a:t> re median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comps!$E$52</c:f>
              <c:strCache>
                <c:ptCount val="1"/>
                <c:pt idx="0">
                  <c:v>m-o</c:v>
                </c:pt>
              </c:strCache>
            </c:strRef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1-46CB-B18C-28E685E13E79}"/>
            </c:ext>
          </c:extLst>
        </c:ser>
        <c:ser>
          <c:idx val="1"/>
          <c:order val="1"/>
          <c:tx>
            <c:strRef>
              <c:f>comps!$E$53</c:f>
              <c:strCache>
                <c:ptCount val="1"/>
                <c:pt idx="0">
                  <c:v>m+p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7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1-46CB-B18C-28E685E1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comps!$B$51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3.6645792523876702E-2"/>
              <c:y val="0.25690097950945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h_f0</c:v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324D-4CDE-BFE7-B0D2B69F7B8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D-4CDE-BFE7-B0D2B69F7B84}"/>
            </c:ext>
          </c:extLst>
        </c:ser>
        <c:ser>
          <c:idx val="2"/>
          <c:order val="1"/>
          <c:tx>
            <c:v>l_f0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D-4CDE-BFE7-B0D2B69F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3.4168136826367101</c:v>
                      </c:pt>
                      <c:pt idx="1">
                        <c:v>3.8354463890968402</c:v>
                      </c:pt>
                      <c:pt idx="2">
                        <c:v>4.3670221460573</c:v>
                      </c:pt>
                      <c:pt idx="3">
                        <c:v>6.0998067389630002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4D-4CDE-BFE7-B0D2B69F7B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-2.33476525133297</c:v>
                      </c:pt>
                      <c:pt idx="1">
                        <c:v>-2.2252320557365701</c:v>
                      </c:pt>
                      <c:pt idx="2">
                        <c:v>-1.2644469455390599</c:v>
                      </c:pt>
                      <c:pt idx="3">
                        <c:v>-0.96658198810346596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4D-4CDE-BFE7-B0D2B69F7B84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strRef>
              <c:f>comps!$B$48</c:f>
              <c:strCache>
                <c:ptCount val="1"/>
                <c:pt idx="0">
                  <c:v>f0 (ST re median)</c:v>
                </c:pt>
              </c:strCache>
            </c:strRef>
          </c:tx>
          <c:layout>
            <c:manualLayout>
              <c:xMode val="edge"/>
              <c:yMode val="edge"/>
              <c:x val="0.14158225108225109"/>
              <c:y val="0.1814191919191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900"/>
            </a:pPr>
            <a:endParaRPr lang="en-US"/>
          </a:p>
        </c:tx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h_t</c:v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D64-8E66-0658D205CC18}"/>
            </c:ext>
          </c:extLst>
        </c:ser>
        <c:ser>
          <c:idx val="2"/>
          <c:order val="1"/>
          <c:tx>
            <c:v>l_t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B-4D64-8E66-0658D205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294.05119086836402</c:v>
                      </c:pt>
                      <c:pt idx="1">
                        <c:v>293.60752949351303</c:v>
                      </c:pt>
                      <c:pt idx="2">
                        <c:v>292.99545977999901</c:v>
                      </c:pt>
                      <c:pt idx="3">
                        <c:v>280.46367412455697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4B-4D64-8E66-0658D205CC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89.929313512108493</c:v>
                      </c:pt>
                      <c:pt idx="1">
                        <c:v>90.285240771054006</c:v>
                      </c:pt>
                      <c:pt idx="2">
                        <c:v>90.017312438904298</c:v>
                      </c:pt>
                      <c:pt idx="3">
                        <c:v>74.259830267189301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4B-4D64-8E66-0658D205CC18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8.7949134199134207E-2"/>
              <c:y val="0.221339826839826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comps!$E$48</c:f>
              <c:strCache>
                <c:ptCount val="1"/>
                <c:pt idx="0">
                  <c:v>H (m-o)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7010-4576-A110-CEB4EA383109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576-A110-CEB4EA383109}"/>
            </c:ext>
          </c:extLst>
        </c:ser>
        <c:ser>
          <c:idx val="2"/>
          <c:order val="1"/>
          <c:tx>
            <c:strRef>
              <c:f>comps!$E$49</c:f>
              <c:strCache>
                <c:ptCount val="1"/>
                <c:pt idx="0">
                  <c:v>L (m-o)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576-A110-CEB4EA383109}"/>
            </c:ext>
          </c:extLst>
        </c:ser>
        <c:ser>
          <c:idx val="5"/>
          <c:order val="2"/>
          <c:tx>
            <c:strRef>
              <c:f>comps!$E$50</c:f>
              <c:strCache>
                <c:ptCount val="1"/>
                <c:pt idx="0">
                  <c:v>H (m+p)</c:v>
                </c:pt>
              </c:strCache>
            </c:strRef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plus>
            <c:min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576-A110-CEB4EA383109}"/>
            </c:ext>
          </c:extLst>
        </c:ser>
        <c:ser>
          <c:idx val="3"/>
          <c:order val="3"/>
          <c:tx>
            <c:strRef>
              <c:f>comps!$E$51</c:f>
              <c:strCache>
                <c:ptCount val="1"/>
                <c:pt idx="0">
                  <c:v>L (m+p)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B5B0F3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576-A110-CEB4EA38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med.)</a:t>
                </a:r>
              </a:p>
            </c:rich>
          </c:tx>
          <c:layout>
            <c:manualLayout>
              <c:xMode val="edge"/>
              <c:yMode val="edge"/>
              <c:x val="0.21274314574314573"/>
              <c:y val="0.19843217893217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4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comps!$E$48</c:f>
              <c:strCache>
                <c:ptCount val="1"/>
                <c:pt idx="0">
                  <c:v>H (m-o)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bg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1-4980-9A8B-8DAE3D0B2CFC}"/>
            </c:ext>
          </c:extLst>
        </c:ser>
        <c:ser>
          <c:idx val="2"/>
          <c:order val="1"/>
          <c:tx>
            <c:strRef>
              <c:f>comps!$E$49</c:f>
              <c:strCache>
                <c:ptCount val="1"/>
                <c:pt idx="0">
                  <c:v>L (m-o)</c:v>
                </c:pt>
              </c:strCache>
            </c:strRef>
          </c:tx>
          <c:spPr>
            <a:ln w="12700"/>
          </c:spPr>
          <c:marker>
            <c:symbol val="diamond"/>
            <c:size val="8"/>
            <c:spPr>
              <a:solidFill>
                <a:srgbClr val="B5B0F3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1-4980-9A8B-8DAE3D0B2CFC}"/>
            </c:ext>
          </c:extLst>
        </c:ser>
        <c:ser>
          <c:idx val="5"/>
          <c:order val="2"/>
          <c:tx>
            <c:strRef>
              <c:f>comps!$E$50</c:f>
              <c:strCache>
                <c:ptCount val="1"/>
                <c:pt idx="0">
                  <c:v>H (m+p)</c:v>
                </c:pt>
              </c:strCache>
            </c:strRef>
          </c:tx>
          <c:spPr>
            <a:ln w="12700">
              <a:solidFill>
                <a:srgbClr val="E66101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1-4980-9A8B-8DAE3D0B2CFC}"/>
            </c:ext>
          </c:extLst>
        </c:ser>
        <c:ser>
          <c:idx val="3"/>
          <c:order val="3"/>
          <c:tx>
            <c:strRef>
              <c:f>comps!$E$51</c:f>
              <c:strCache>
                <c:ptCount val="1"/>
                <c:pt idx="0">
                  <c:v>L (m+p)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rgbClr val="B5B0F3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1-4980-9A8B-8DAE3D0B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19441702741702746"/>
              <c:y val="0.25799206349206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  <c:spPr>
        <a:ln>
          <a:solidFill>
            <a:schemeClr val="bg2">
              <a:lumMod val="9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4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contour slopes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(m-o)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81-4F02-A8C4-C4742684A577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(m+p)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381-4F02-A8C4-C4742684A577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81-4F02-A8C4-C4742684A577}"/>
            </c:ext>
          </c:extLst>
        </c:ser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(m-o)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381-4F02-A8C4-C4742684A577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(m+p)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81-4F02-A8C4-C4742684A577}"/>
            </c:ext>
          </c:extLst>
        </c:ser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(m-o)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381-4F02-A8C4-C4742684A577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(m+p)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81-4F02-A8C4-C4742684A577}"/>
            </c:ext>
          </c:extLst>
        </c:ser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(m-o)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381-4F02-A8C4-C4742684A577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(m+p)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381-4F02-A8C4-C474268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f0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Mode b0'!$E$23</c:f>
              <c:strCache>
                <c:ptCount val="1"/>
                <c:pt idx="0">
                  <c:v>MDQ (m-o)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b0'!$E$24:$E$25</c:f>
              <c:numCache>
                <c:formatCode>0.00</c:formatCode>
                <c:ptCount val="2"/>
                <c:pt idx="0">
                  <c:v>1.67378616080225</c:v>
                </c:pt>
                <c:pt idx="1">
                  <c:v>1.67378616080225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3-4D61-A06B-CE9F73E570A1}"/>
            </c:ext>
          </c:extLst>
        </c:ser>
        <c:ser>
          <c:idx val="7"/>
          <c:order val="1"/>
          <c:tx>
            <c:strRef>
              <c:f>'Utt Mode+ b0'!$E$23</c:f>
              <c:strCache>
                <c:ptCount val="1"/>
                <c:pt idx="0">
                  <c:v>MDQ (m+p)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b0'!$E$24:$E$25</c:f>
              <c:numCache>
                <c:formatCode>0.00</c:formatCode>
                <c:ptCount val="2"/>
                <c:pt idx="0">
                  <c:v>1.45782068605973</c:v>
                </c:pt>
                <c:pt idx="1">
                  <c:v>1.45782068605973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3-4D61-A06B-CE9F73E570A1}"/>
            </c:ext>
          </c:extLst>
        </c:ser>
        <c:ser>
          <c:idx val="10"/>
          <c:order val="2"/>
          <c:tx>
            <c:strRef>
              <c:f>'Utt Mode b0'!$D$23</c:f>
              <c:strCache>
                <c:ptCount val="1"/>
                <c:pt idx="0">
                  <c:v>MYN (m-o)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b0'!$D$24:$D$25</c:f>
              <c:numCache>
                <c:formatCode>0.00</c:formatCode>
                <c:ptCount val="2"/>
                <c:pt idx="0">
                  <c:v>0.23743757336004501</c:v>
                </c:pt>
                <c:pt idx="1">
                  <c:v>0.23743757336004501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3-4D61-A06B-CE9F73E570A1}"/>
            </c:ext>
          </c:extLst>
        </c:ser>
        <c:ser>
          <c:idx val="6"/>
          <c:order val="3"/>
          <c:tx>
            <c:strRef>
              <c:f>'Utt Mode+ b0'!$D$23</c:f>
              <c:strCache>
                <c:ptCount val="1"/>
                <c:pt idx="0">
                  <c:v>MYN (m+p)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b0'!$D$24:$D$25</c:f>
              <c:numCache>
                <c:formatCode>0.00</c:formatCode>
                <c:ptCount val="2"/>
                <c:pt idx="0">
                  <c:v>0.20147082685336401</c:v>
                </c:pt>
                <c:pt idx="1">
                  <c:v>0.20147082685336401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3-4D61-A06B-CE9F73E570A1}"/>
            </c:ext>
          </c:extLst>
        </c:ser>
        <c:ser>
          <c:idx val="9"/>
          <c:order val="4"/>
          <c:tx>
            <c:strRef>
              <c:f>'Utt Mode b0'!$C$23</c:f>
              <c:strCache>
                <c:ptCount val="1"/>
                <c:pt idx="0">
                  <c:v>MWH (m-o)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b0'!$C$24:$C$25</c:f>
              <c:numCache>
                <c:formatCode>0.00</c:formatCode>
                <c:ptCount val="2"/>
                <c:pt idx="0">
                  <c:v>-4.9753135106339497E-2</c:v>
                </c:pt>
                <c:pt idx="1">
                  <c:v>-4.9753135106339497E-2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3-4D61-A06B-CE9F73E570A1}"/>
            </c:ext>
          </c:extLst>
        </c:ser>
        <c:ser>
          <c:idx val="5"/>
          <c:order val="5"/>
          <c:tx>
            <c:strRef>
              <c:f>'Utt Mode+ b0'!$C$23</c:f>
              <c:strCache>
                <c:ptCount val="1"/>
                <c:pt idx="0">
                  <c:v>MWH (m+p)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b0'!$C$24:$C$25</c:f>
              <c:numCache>
                <c:formatCode>0.00</c:formatCode>
                <c:ptCount val="2"/>
                <c:pt idx="0">
                  <c:v>1.9090454207855701E-2</c:v>
                </c:pt>
                <c:pt idx="1">
                  <c:v>1.9090454207855701E-2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3-4D61-A06B-CE9F73E570A1}"/>
            </c:ext>
          </c:extLst>
        </c:ser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(m-o)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3-4D61-A06B-CE9F73E570A1}"/>
            </c:ext>
          </c:extLst>
        </c:ser>
        <c:ser>
          <c:idx val="4"/>
          <c:order val="7"/>
          <c:tx>
            <c:strRef>
              <c:f>'Utt Mode+ b0'!$B$23</c:f>
              <c:strCache>
                <c:ptCount val="1"/>
                <c:pt idx="0">
                  <c:v>MDC (m+p)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-0.38442111827453201</c:v>
                </c:pt>
                <c:pt idx="1">
                  <c:v>-0.38442111827453201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3-4D61-A06B-CE9F73E5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(m-o)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6AF-B752-74DA028E898B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(m+p)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5AD-46AF-B752-74DA028E898B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6AF-B752-74DA028E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AD-46AF-B752-74DA028E898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(m+p)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8.0258806308916348</c:v>
                      </c:pt>
                      <c:pt idx="1">
                        <c:v>-7.9876997224759236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AD-46AF-B752-74DA028E898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AD-46AF-B752-74DA028E898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(m+p)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-1.9192832853584361</c:v>
                      </c:pt>
                      <c:pt idx="1">
                        <c:v>2.3222249390651641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AD-46AF-B752-74DA028E898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AD-46AF-B752-74DA028E89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(m+p)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-5.1950889764817099</c:v>
                      </c:pt>
                      <c:pt idx="1">
                        <c:v>6.8543804893948037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AD-46AF-B752-74DA028E898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8977389664668"/>
          <c:y val="0.23954415654170211"/>
          <c:w val="0.7058960487964725"/>
          <c:h val="0.67680550307865583"/>
        </c:manualLayout>
      </c:layout>
      <c:scatterChart>
        <c:scatterStyle val="smoothMarker"/>
        <c:varyColors val="0"/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(m-o)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C-4F71-A5F6-3D2A09505B93}"/>
            </c:ext>
          </c:extLst>
        </c:ser>
        <c:ser>
          <c:idx val="4"/>
          <c:order val="7"/>
          <c:tx>
            <c:strRef>
              <c:f>'Utt Mode+ b0'!$B$23</c:f>
              <c:strCache>
                <c:ptCount val="1"/>
                <c:pt idx="0">
                  <c:v>MDC (m+p)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-0.38442111827453201</c:v>
                </c:pt>
                <c:pt idx="1">
                  <c:v>-0.38442111827453201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C-4F71-A5F6-3D2A0950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b0'!$E$23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1.67378616080225</c:v>
                      </c:pt>
                      <c:pt idx="1">
                        <c:v>1.67378616080225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5C-4F71-A5F6-3D2A09505B93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b0'!$E$23</c15:sqref>
                        </c15:formulaRef>
                      </c:ext>
                    </c:extLst>
                    <c:strCache>
                      <c:ptCount val="1"/>
                      <c:pt idx="0">
                        <c:v>MDQ (m+p)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1.45782068605973</c:v>
                      </c:pt>
                      <c:pt idx="1">
                        <c:v>1.45782068605973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5C-4F71-A5F6-3D2A09505B9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b0'!$D$23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0.23743757336004501</c:v>
                      </c:pt>
                      <c:pt idx="1">
                        <c:v>0.23743757336004501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5C-4F71-A5F6-3D2A09505B9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b0'!$D$23</c15:sqref>
                        </c15:formulaRef>
                      </c:ext>
                    </c:extLst>
                    <c:strCache>
                      <c:ptCount val="1"/>
                      <c:pt idx="0">
                        <c:v>MYN (m+p)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0.20147082685336401</c:v>
                      </c:pt>
                      <c:pt idx="1">
                        <c:v>0.20147082685336401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5C-4F71-A5F6-3D2A09505B9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b0'!$C$23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-4.9753135106339497E-2</c:v>
                      </c:pt>
                      <c:pt idx="1">
                        <c:v>-4.9753135106339497E-2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5C-4F71-A5F6-3D2A09505B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b0'!$C$23</c15:sqref>
                        </c15:formulaRef>
                      </c:ext>
                    </c:extLst>
                    <c:strCache>
                      <c:ptCount val="1"/>
                      <c:pt idx="0">
                        <c:v>MWH (m+p)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1.9090454207855701E-2</c:v>
                      </c:pt>
                      <c:pt idx="1">
                        <c:v>1.9090454207855701E-2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5C-4F71-A5F6-3D2A09505B93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1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8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IE" b="0"/>
                  <a:t>ST re 1 Hz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755857903"/>
        <c:crosses val="max"/>
        <c:crossBetween val="midCat"/>
        <c:majorUnit val="2"/>
        <c:minorUnit val="0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(m-o)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6610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F65-4F68-BC88-AC7F78A9CC58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F65-4F68-BC88-AC7F78A9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65-4F68-BC88-AC7F78A9CC5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(m+p)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0F65-4F68-BC88-AC7F78A9CC5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3.3911828968388678</c:v>
                      </c:pt>
                      <c:pt idx="1">
                        <c:v>-4.1600251333879319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65-4F68-BC88-AC7F78A9CC58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5-4F68-BC88-AC7F78A9CC58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(m+p)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-1.9192832853584361</c:v>
                      </c:pt>
                      <c:pt idx="1">
                        <c:v>2.3222249390651641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5-4F68-BC88-AC7F78A9CC58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5-4F68-BC88-AC7F78A9CC5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(m+p)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-5.1950889764817099</c:v>
                      </c:pt>
                      <c:pt idx="1">
                        <c:v>6.8543804893948037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5-4F68-BC88-AC7F78A9CC58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b0'!$J$25,'mode b0'!$J$31)</c:f>
                <c:numCache>
                  <c:formatCode>General</c:formatCode>
                  <c:ptCount val="2"/>
                  <c:pt idx="0">
                    <c:v>16.792814353083699</c:v>
                  </c:pt>
                  <c:pt idx="1">
                    <c:v>80.755417818647032</c:v>
                  </c:pt>
                </c:numCache>
              </c:numRef>
            </c:plus>
            <c:minus>
              <c:numRef>
                <c:f>('mode b0'!$J$25,'mode b0'!$J$31)</c:f>
                <c:numCache>
                  <c:formatCode>General</c:formatCode>
                  <c:ptCount val="2"/>
                  <c:pt idx="0">
                    <c:v>16.792814353083699</c:v>
                  </c:pt>
                  <c:pt idx="1">
                    <c:v>80.755417818647032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b0'!$J$38,'mode b0'!$J$44)</c:f>
                <c:numCache>
                  <c:formatCode>General</c:formatCode>
                  <c:ptCount val="2"/>
                  <c:pt idx="0">
                    <c:v>3.1326779503554301</c:v>
                  </c:pt>
                  <c:pt idx="1">
                    <c:v>3.7853353287574332</c:v>
                  </c:pt>
                </c:numCache>
              </c:numRef>
            </c:plus>
            <c:minus>
              <c:numRef>
                <c:f>('mode b0'!$J$38,'mode b0'!$J$44)</c:f>
                <c:numCache>
                  <c:formatCode>General</c:formatCode>
                  <c:ptCount val="2"/>
                  <c:pt idx="0">
                    <c:v>3.1326779503554301</c:v>
                  </c:pt>
                  <c:pt idx="1">
                    <c:v>3.7853353287574332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90.441608895113404</c:v>
                </c:pt>
                <c:pt idx="1">
                  <c:v>294.20861375475403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-2.26543020886918</c:v>
                </c:pt>
                <c:pt idx="1">
                  <c:v>3.2424083734709201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b0'!$J$26,'mode b0'!$J$32)</c:f>
                <c:numCache>
                  <c:formatCode>General</c:formatCode>
                  <c:ptCount val="2"/>
                  <c:pt idx="0">
                    <c:v>16.799007456971992</c:v>
                  </c:pt>
                  <c:pt idx="1">
                    <c:v>80.752728036978027</c:v>
                  </c:pt>
                </c:numCache>
              </c:numRef>
            </c:plus>
            <c:minus>
              <c:numRef>
                <c:f>('mode b0'!$J$26,'mode b0'!$J$32)</c:f>
                <c:numCache>
                  <c:formatCode>General</c:formatCode>
                  <c:ptCount val="2"/>
                  <c:pt idx="0">
                    <c:v>16.799007456971992</c:v>
                  </c:pt>
                  <c:pt idx="1">
                    <c:v>80.752728036978027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b0'!$J$39,'mode b0'!$J$45)</c:f>
                <c:numCache>
                  <c:formatCode>General</c:formatCode>
                  <c:ptCount val="2"/>
                  <c:pt idx="0">
                    <c:v>3.1303404621848401</c:v>
                  </c:pt>
                  <c:pt idx="1">
                    <c:v>3.783848803547373</c:v>
                  </c:pt>
                </c:numCache>
              </c:numRef>
            </c:plus>
            <c:minus>
              <c:numRef>
                <c:f>('mode b0'!$J$39,'mode b0'!$J$45)</c:f>
                <c:numCache>
                  <c:formatCode>General</c:formatCode>
                  <c:ptCount val="2"/>
                  <c:pt idx="0">
                    <c:v>3.1303404621848401</c:v>
                  </c:pt>
                  <c:pt idx="1">
                    <c:v>3.783848803547373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90.853284894580298</c:v>
                </c:pt>
                <c:pt idx="1">
                  <c:v>293.83541250289602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-2.1436051743111699</c:v>
                </c:pt>
                <c:pt idx="1">
                  <c:v>3.6474441988800899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b0'!$J$27,'mode b0'!$J$33)</c:f>
                <c:numCache>
                  <c:formatCode>General</c:formatCode>
                  <c:ptCount val="2"/>
                  <c:pt idx="0">
                    <c:v>16.762346947139505</c:v>
                  </c:pt>
                  <c:pt idx="1">
                    <c:v>80.766736817644983</c:v>
                  </c:pt>
                </c:numCache>
              </c:numRef>
            </c:plus>
            <c:minus>
              <c:numRef>
                <c:f>('mode b0'!$J$27,'mode b0'!$J$33)</c:f>
                <c:numCache>
                  <c:formatCode>General</c:formatCode>
                  <c:ptCount val="2"/>
                  <c:pt idx="0">
                    <c:v>16.762346947139505</c:v>
                  </c:pt>
                  <c:pt idx="1">
                    <c:v>80.766736817644983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b0'!$J$40,'mode b0'!$J$46)</c:f>
                <c:numCache>
                  <c:formatCode>General</c:formatCode>
                  <c:ptCount val="2"/>
                  <c:pt idx="0">
                    <c:v>3.1437885065198481</c:v>
                  </c:pt>
                  <c:pt idx="1">
                    <c:v>3.7919948037445996</c:v>
                  </c:pt>
                </c:numCache>
              </c:numRef>
            </c:plus>
            <c:minus>
              <c:numRef>
                <c:f>('mode b0'!$J$40,'mode b0'!$J$46)</c:f>
                <c:numCache>
                  <c:formatCode>General</c:formatCode>
                  <c:ptCount val="2"/>
                  <c:pt idx="0">
                    <c:v>3.1437885065198481</c:v>
                  </c:pt>
                  <c:pt idx="1">
                    <c:v>3.7919948037445996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88.162519064654504</c:v>
                </c:pt>
                <c:pt idx="1">
                  <c:v>291.74515953026599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-0.64182890317611196</c:v>
                </c:pt>
                <c:pt idx="1">
                  <c:v>4.9610948140404396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b0'!$J$28,'mode b0'!$J$34)</c:f>
                <c:numCache>
                  <c:formatCode>General</c:formatCode>
                  <c:ptCount val="2"/>
                  <c:pt idx="0">
                    <c:v>16.686464545374498</c:v>
                  </c:pt>
                  <c:pt idx="1">
                    <c:v>80.794940030045979</c:v>
                  </c:pt>
                </c:numCache>
              </c:numRef>
            </c:plus>
            <c:minus>
              <c:numRef>
                <c:f>('mode b0'!$J$28,'mode b0'!$J$34)</c:f>
                <c:numCache>
                  <c:formatCode>General</c:formatCode>
                  <c:ptCount val="2"/>
                  <c:pt idx="0">
                    <c:v>16.686464545374498</c:v>
                  </c:pt>
                  <c:pt idx="1">
                    <c:v>80.794940030045979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b0'!$J$41,'mode b0'!$J$47)</c:f>
                <c:numCache>
                  <c:formatCode>General</c:formatCode>
                  <c:ptCount val="2"/>
                  <c:pt idx="0">
                    <c:v>3.1677952413408308</c:v>
                  </c:pt>
                  <c:pt idx="1">
                    <c:v>3.8080284145616701</c:v>
                  </c:pt>
                </c:numCache>
              </c:numRef>
            </c:plus>
            <c:minus>
              <c:numRef>
                <c:f>('mode b0'!$J$41,'mode b0'!$J$47)</c:f>
                <c:numCache>
                  <c:formatCode>General</c:formatCode>
                  <c:ptCount val="2"/>
                  <c:pt idx="0">
                    <c:v>3.1677952413408308</c:v>
                  </c:pt>
                  <c:pt idx="1">
                    <c:v>3.8080284145616701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69.459073012174798</c:v>
                </c:pt>
                <c:pt idx="1">
                  <c:v>277.42146884331697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0.223665158670071</c:v>
                </c:pt>
                <c:pt idx="1">
                  <c:v>7.75313030215107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</c:valAx>
      <c:valAx>
        <c:axId val="7651747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882828282828283"/>
          <c:y val="0.21138613896958802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(m-o)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1B9E7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6E8-4B20-9998-4E8A4FD423EC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86E8-4B20-9998-4E8A4FD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6E8-4B20-9998-4E8A4FD423E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(m+p)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86E8-4B20-9998-4E8A4FD423E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3.3911828968388678</c:v>
                      </c:pt>
                      <c:pt idx="1">
                        <c:v>-4.1600251333879319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E8-4B20-9998-4E8A4FD423E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E8-4B20-9998-4E8A4FD423E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(m+p)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8.0258806308916348</c:v>
                      </c:pt>
                      <c:pt idx="1">
                        <c:v>-7.9876997224759236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E8-4B20-9998-4E8A4FD423EC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8-4B20-9998-4E8A4FD423E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(m+p)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-5.1950889764817099</c:v>
                      </c:pt>
                      <c:pt idx="1">
                        <c:v>6.8543804893948037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8-4B20-9998-4E8A4FD423E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(m-o)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7298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A3F-4E8A-9E76-E072395C419C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A3F-4E8A-9E76-E072395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A3F-4E8A-9E76-E072395C419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(m+p)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1A3F-4E8A-9E76-E072395C41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3.3911828968388678</c:v>
                      </c:pt>
                      <c:pt idx="1">
                        <c:v>-4.1600251333879319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3F-4E8A-9E76-E072395C419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3F-4E8A-9E76-E072395C419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(m+p)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8.0258806308916348</c:v>
                      </c:pt>
                      <c:pt idx="1">
                        <c:v>-7.9876997224759236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3F-4E8A-9E76-E072395C419C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3F-4E8A-9E76-E072395C419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(m+p)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-1.9192832853584361</c:v>
                      </c:pt>
                      <c:pt idx="1">
                        <c:v>2.3222249390651641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3F-4E8A-9E76-E072395C419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DF8B6F-892A-48F2-82E0-9C20A7A63A4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88-46D9-AD3B-C02FC1BD9B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10DF59-935F-426E-B6D2-9F99C791561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88-46D9-AD3B-C02FC1BD9B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C9B4ED-630B-4669-BE00-F2B1052E562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88-46D9-AD3B-C02FC1BD9B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0D1B4A-061E-4F66-87E2-CF4DAF6862D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88-46D9-AD3B-C02FC1BD9B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59873F-0A45-49C1-AE23-9144C6599CC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88-46D9-AD3B-C02FC1BD9B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BC6964-1860-4D70-A9C5-C32846367B5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88-46D9-AD3B-C02FC1BD9BD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42A241-9166-4CEB-B026-626A0CF42B9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88-46D9-AD3B-C02FC1BD9BDC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plus>
            <c:minus>
              <c:numRef>
                <c:f>'Utt Mode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 b1'!$C$3:$C$9</c:f>
              <c:numCache>
                <c:formatCode>0.0</c:formatCode>
                <c:ptCount val="7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  <c:pt idx="6">
                  <c:v>0.126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 b1'!$C$3:$C$9</c15:f>
                <c15:dlblRangeCache>
                  <c:ptCount val="7"/>
                  <c:pt idx="0">
                    <c:v>0.5</c:v>
                  </c:pt>
                  <c:pt idx="1">
                    <c:v>0.8</c:v>
                  </c:pt>
                  <c:pt idx="2">
                    <c:v>2.2</c:v>
                  </c:pt>
                  <c:pt idx="3">
                    <c:v>0.3</c:v>
                  </c:pt>
                  <c:pt idx="4">
                    <c:v>1.7</c:v>
                  </c:pt>
                  <c:pt idx="5">
                    <c:v>1.4</c:v>
                  </c:pt>
                  <c:pt idx="6">
                    <c:v>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A88-46D9-AD3B-C02FC1BD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 b1'!$C$13</c:f>
              <c:strCache>
                <c:ptCount val="1"/>
                <c:pt idx="0">
                  <c:v>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F6A131B-05D8-4438-BCF1-4F8A34B3DA8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4C-4D5D-A453-4C511DB675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4B9502-048A-4EA0-BBBA-1A93184904A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4C-4D5D-A453-4C511DB675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135919-DC11-4A8D-BA41-0D66A8042C4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4C-4D5D-A453-4C511DB675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12D0DD-3448-408B-B7A1-5730C622700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4C-4D5D-A453-4C511DB675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C45B34-7BFD-45E3-868B-5064BABCB02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4C-4D5D-A453-4C511DB675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EF172B-95C5-4CD4-8E6B-E2DD45A2899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4C-4D5D-A453-4C511DB675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273B3F-59AD-4FCE-A994-80DE22EA3AA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4C-4D5D-A453-4C511DB675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plus>
            <c:minus>
              <c:numRef>
                <c:f>'Utt Mode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 b1'!$C$14:$C$20</c:f>
              <c:numCache>
                <c:formatCode>0.00</c:formatCode>
                <c:ptCount val="7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  <c:pt idx="6">
                  <c:v>1.454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 b1'!$C$14:$C$20</c15:f>
                <c15:dlblRangeCache>
                  <c:ptCount val="7"/>
                  <c:pt idx="0">
                    <c:v>-2.42</c:v>
                  </c:pt>
                  <c:pt idx="1">
                    <c:v>3.55</c:v>
                  </c:pt>
                  <c:pt idx="2">
                    <c:v>6.61</c:v>
                  </c:pt>
                  <c:pt idx="3">
                    <c:v>5.97</c:v>
                  </c:pt>
                  <c:pt idx="4">
                    <c:v>9.03</c:v>
                  </c:pt>
                  <c:pt idx="5">
                    <c:v>3.06</c:v>
                  </c:pt>
                  <c:pt idx="6">
                    <c:v>1.45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E4C-4D5D-A453-4C511DB6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Mode+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b1'!$K$3:$K$8</c:f>
                <c:numCache>
                  <c:formatCode>General</c:formatCode>
                  <c:ptCount val="6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</c:numCache>
              </c:numRef>
            </c:plus>
            <c:minus>
              <c:numRef>
                <c:f>'Utt Mode+ b1'!$K$3:$K$8</c:f>
                <c:numCache>
                  <c:formatCode>General</c:formatCode>
                  <c:ptCount val="6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b1'!$C$3:$C$8</c:f>
              <c:numCache>
                <c:formatCode>0.0</c:formatCode>
                <c:ptCount val="6"/>
                <c:pt idx="0">
                  <c:v>0.40351143034436199</c:v>
                </c:pt>
                <c:pt idx="1">
                  <c:v>0.58589431295815897</c:v>
                </c:pt>
                <c:pt idx="2">
                  <c:v>1.84223688012531</c:v>
                </c:pt>
                <c:pt idx="3">
                  <c:v>0.182381465988318</c:v>
                </c:pt>
                <c:pt idx="4">
                  <c:v>1.4387253254113199</c:v>
                </c:pt>
                <c:pt idx="5">
                  <c:v>1.2563404154848301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Mode+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b1'!$K$14:$K$19</c:f>
                <c:numCache>
                  <c:formatCode>General</c:formatCode>
                  <c:ptCount val="6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</c:numCache>
              </c:numRef>
            </c:plus>
            <c:minus>
              <c:numRef>
                <c:f>'Utt Mode+ b1'!$K$14:$K$19</c:f>
                <c:numCache>
                  <c:formatCode>General</c:formatCode>
                  <c:ptCount val="6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b1'!$C$14:$C$19</c:f>
              <c:numCache>
                <c:formatCode>0.00</c:formatCode>
                <c:ptCount val="6"/>
                <c:pt idx="0">
                  <c:v>-2.1156899611068098</c:v>
                </c:pt>
                <c:pt idx="1">
                  <c:v>2.9480659025186999</c:v>
                </c:pt>
                <c:pt idx="2">
                  <c:v>5.2142843855174696</c:v>
                </c:pt>
                <c:pt idx="3">
                  <c:v>5.06375732966145</c:v>
                </c:pt>
                <c:pt idx="4">
                  <c:v>7.3299732847251899</c:v>
                </c:pt>
                <c:pt idx="5">
                  <c:v>2.2662133061789498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79EA43-7E36-46AE-8E91-6EB19DA661D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A9-4B0E-BE33-6393375319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D2C074-2D2A-4E1C-9266-4DC60A24C4E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A9-4B0E-BE33-6393375319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0E1693-3489-41EE-8BE6-2B64BCDF481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A9-4B0E-BE33-6393375319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8E4EF1-EA08-4647-858A-FC59916CBDD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A9-4B0E-BE33-63933753199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5FE478-4372-4D17-A6AC-B0CEE16335B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A9-4B0E-BE33-63933753199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ADD544-C8A2-4BE4-98AE-C5881B64F71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A9-4B0E-BE33-6393375319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4149C9-E9C0-43F9-B2C1-7C7CEEF8975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A9-4B0E-BE33-63933753199F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b1'!$K$3:$K$9</c:f>
                <c:numCache>
                  <c:formatCode>General</c:formatCode>
                  <c:ptCount val="7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  <c:pt idx="6">
                    <c:v>0.35234615404444097</c:v>
                  </c:pt>
                </c:numCache>
              </c:numRef>
            </c:plus>
            <c:minus>
              <c:numRef>
                <c:f>'Utt Mode+ b1'!$K$3:$K$9</c:f>
                <c:numCache>
                  <c:formatCode>General</c:formatCode>
                  <c:ptCount val="7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  <c:pt idx="6">
                    <c:v>0.35234615404444097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b1'!$C$3:$C$9</c:f>
              <c:numCache>
                <c:formatCode>0.0</c:formatCode>
                <c:ptCount val="7"/>
                <c:pt idx="0">
                  <c:v>0.40351143034436199</c:v>
                </c:pt>
                <c:pt idx="1">
                  <c:v>0.58589431295815897</c:v>
                </c:pt>
                <c:pt idx="2">
                  <c:v>1.84223688012531</c:v>
                </c:pt>
                <c:pt idx="3">
                  <c:v>0.182381465988318</c:v>
                </c:pt>
                <c:pt idx="4">
                  <c:v>1.4387253254113199</c:v>
                </c:pt>
                <c:pt idx="5">
                  <c:v>1.2563404154848301</c:v>
                </c:pt>
                <c:pt idx="6">
                  <c:v>0.79535334972826299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b1'!$C$3:$C$9</c15:f>
                <c15:dlblRangeCache>
                  <c:ptCount val="7"/>
                  <c:pt idx="0">
                    <c:v>0.4</c:v>
                  </c:pt>
                  <c:pt idx="1">
                    <c:v>0.6</c:v>
                  </c:pt>
                  <c:pt idx="2">
                    <c:v>1.8</c:v>
                  </c:pt>
                  <c:pt idx="3">
                    <c:v>0.2</c:v>
                  </c:pt>
                  <c:pt idx="4">
                    <c:v>1.4</c:v>
                  </c:pt>
                  <c:pt idx="5">
                    <c:v>1.3</c:v>
                  </c:pt>
                  <c:pt idx="6">
                    <c:v>0.8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FA9-4B0E-BE33-63933753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AFDFC0-E23A-4D21-8648-2168919C89A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7E-44C1-AAB0-20C99A0FC2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177FE7-AE44-449E-906E-9296A49F2A7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7E-44C1-AAB0-20C99A0FC2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A8801E-7878-48DD-B94D-536F381B2EB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7E-44C1-AAB0-20C99A0FC2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46BC9F-8D6C-44EF-A29E-8FE998A0EF3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7E-44C1-AAB0-20C99A0FC2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6A51E2-86A4-4037-B3E1-7E9871ED461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7E-44C1-AAB0-20C99A0FC2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4AD777-53F3-49A5-BBC4-75ECD2474FD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7E-44C1-AAB0-20C99A0FC2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EF39DF-89C4-4F8D-A2CA-D6F5CA71CA2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7E-44C1-AAB0-20C99A0FC2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b1'!$K$14:$K$20</c:f>
                <c:numCache>
                  <c:formatCode>General</c:formatCode>
                  <c:ptCount val="7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  <c:pt idx="6">
                    <c:v>0.93548053437103995</c:v>
                  </c:pt>
                </c:numCache>
              </c:numRef>
            </c:plus>
            <c:minus>
              <c:numRef>
                <c:f>'Utt Mode+ b1'!$K$14:$K$20</c:f>
                <c:numCache>
                  <c:formatCode>General</c:formatCode>
                  <c:ptCount val="7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  <c:pt idx="6">
                    <c:v>0.93548053437103995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b1'!$C$14:$C$20</c:f>
              <c:numCache>
                <c:formatCode>0.00</c:formatCode>
                <c:ptCount val="7"/>
                <c:pt idx="0">
                  <c:v>-2.1156899611068098</c:v>
                </c:pt>
                <c:pt idx="1">
                  <c:v>2.9480659025186999</c:v>
                </c:pt>
                <c:pt idx="2">
                  <c:v>5.2142843855174696</c:v>
                </c:pt>
                <c:pt idx="3">
                  <c:v>5.06375732966145</c:v>
                </c:pt>
                <c:pt idx="4">
                  <c:v>7.3299732847251899</c:v>
                </c:pt>
                <c:pt idx="5">
                  <c:v>2.2662133061789498</c:v>
                </c:pt>
                <c:pt idx="6">
                  <c:v>2.387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b1'!$C$14:$C$20</c15:f>
                <c15:dlblRangeCache>
                  <c:ptCount val="7"/>
                  <c:pt idx="0">
                    <c:v>-2.12</c:v>
                  </c:pt>
                  <c:pt idx="1">
                    <c:v>2.95</c:v>
                  </c:pt>
                  <c:pt idx="2">
                    <c:v>5.21</c:v>
                  </c:pt>
                  <c:pt idx="3">
                    <c:v>5.06</c:v>
                  </c:pt>
                  <c:pt idx="4">
                    <c:v>7.33</c:v>
                  </c:pt>
                  <c:pt idx="5">
                    <c:v>2.27</c:v>
                  </c:pt>
                  <c:pt idx="6">
                    <c:v>2.39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D7E-44C1-AAB0-20C99A0F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428E-8713-40785718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difference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607DC0-B608-4516-AB51-C56935F2F10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A-4A6C-98E4-41E3F48BC1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CDC3D2-6BF0-4ACC-BD60-0C61DE3D7E7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8A-4A6C-98E4-41E3F48BC1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05E151-590E-49A4-8F7D-1BDAE41C64C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8A-4A6C-98E4-41E3F48BC1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DF101E-3F9E-441D-AE13-64B602EA83F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8A-4A6C-98E4-41E3F48BC1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5AEDA8-238C-4893-B0EE-5825949F980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8A-4A6C-98E4-41E3F48BC1F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67DFE2-3E31-470F-BD01-7395D038E49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8A-4A6C-98E4-41E3F48BC1F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8EACB3-C2B1-4F8C-89F9-65E1B459F59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8A-4A6C-98E4-41E3F48BC1F8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b1'!$K$3:$K$9</c:f>
                <c:numCache>
                  <c:formatCode>General</c:formatCode>
                  <c:ptCount val="7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  <c:pt idx="6">
                    <c:v>0.35234615404444097</c:v>
                  </c:pt>
                </c:numCache>
              </c:numRef>
            </c:plus>
            <c:minus>
              <c:numRef>
                <c:f>'Utt Mode+ b1'!$K$3:$K$9</c:f>
                <c:numCache>
                  <c:formatCode>General</c:formatCode>
                  <c:ptCount val="7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  <c:pt idx="6">
                    <c:v>0.35234615404444097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b1'!$C$3:$C$9</c:f>
              <c:numCache>
                <c:formatCode>0.0</c:formatCode>
                <c:ptCount val="7"/>
                <c:pt idx="0">
                  <c:v>0.40351143034436199</c:v>
                </c:pt>
                <c:pt idx="1">
                  <c:v>0.58589431295815897</c:v>
                </c:pt>
                <c:pt idx="2">
                  <c:v>1.84223688012531</c:v>
                </c:pt>
                <c:pt idx="3">
                  <c:v>0.182381465988318</c:v>
                </c:pt>
                <c:pt idx="4">
                  <c:v>1.4387253254113199</c:v>
                </c:pt>
                <c:pt idx="5">
                  <c:v>1.2563404154848301</c:v>
                </c:pt>
                <c:pt idx="6">
                  <c:v>0.79535334972826299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b1'!$C$3:$C$9</c15:f>
                <c15:dlblRangeCache>
                  <c:ptCount val="7"/>
                  <c:pt idx="0">
                    <c:v>0.4</c:v>
                  </c:pt>
                  <c:pt idx="1">
                    <c:v>0.6</c:v>
                  </c:pt>
                  <c:pt idx="2">
                    <c:v>1.8</c:v>
                  </c:pt>
                  <c:pt idx="3">
                    <c:v>0.2</c:v>
                  </c:pt>
                  <c:pt idx="4">
                    <c:v>1.4</c:v>
                  </c:pt>
                  <c:pt idx="5">
                    <c:v>1.3</c:v>
                  </c:pt>
                  <c:pt idx="6">
                    <c:v>0.8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8A-4A6C-98E4-41E3F48B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429415-4957-49F2-95D3-75FE0881350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0D6-429C-A32E-0A81AF875E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AE3943-552E-4E61-95D5-90C77470778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D6-429C-A32E-0A81AF875E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747CBF-D69B-4486-AE23-50091A605F5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D6-429C-A32E-0A81AF875E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5DB1FD-56F8-4354-9900-87DDEF38A98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D6-429C-A32E-0A81AF875E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9E6E8-0188-4B10-A19E-DFA0AB1848E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D6-429C-A32E-0A81AF875E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E8C6BB-5B10-4F8C-B1E3-CDBBE32E3A9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D6-429C-A32E-0A81AF875E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5D8BC4-CBD7-4F75-BDC8-A0F82D05CA2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D6-429C-A32E-0A81AF875E5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b1'!$K$14:$K$20</c:f>
                <c:numCache>
                  <c:formatCode>General</c:formatCode>
                  <c:ptCount val="7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  <c:pt idx="6">
                    <c:v>0.93548053437103995</c:v>
                  </c:pt>
                </c:numCache>
              </c:numRef>
            </c:plus>
            <c:minus>
              <c:numRef>
                <c:f>'Utt Mode+ b1'!$K$14:$K$20</c:f>
                <c:numCache>
                  <c:formatCode>General</c:formatCode>
                  <c:ptCount val="7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  <c:pt idx="6">
                    <c:v>0.93548053437103995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7"/>
              <c:pt idx="0">
                <c:v>MDC MWH</c:v>
              </c:pt>
              <c:pt idx="1">
                <c:v>MDC MYN</c:v>
              </c:pt>
              <c:pt idx="2">
                <c:v>MDC MDQ</c:v>
              </c:pt>
              <c:pt idx="3">
                <c:v>MWH MYN</c:v>
              </c:pt>
              <c:pt idx="4">
                <c:v>MWH MDQ</c:v>
              </c:pt>
              <c:pt idx="5">
                <c:v>MYN MDQ</c:v>
              </c:pt>
              <c:pt idx="6">
                <c:v>F M</c:v>
              </c:pt>
            </c:strLit>
          </c:cat>
          <c:val>
            <c:numRef>
              <c:f>'Utt Mode+ b1'!$C$14:$C$20</c:f>
              <c:numCache>
                <c:formatCode>0.00</c:formatCode>
                <c:ptCount val="7"/>
                <c:pt idx="0">
                  <c:v>-2.1156899611068098</c:v>
                </c:pt>
                <c:pt idx="1">
                  <c:v>2.9480659025186999</c:v>
                </c:pt>
                <c:pt idx="2">
                  <c:v>5.2142843855174696</c:v>
                </c:pt>
                <c:pt idx="3">
                  <c:v>5.06375732966145</c:v>
                </c:pt>
                <c:pt idx="4">
                  <c:v>7.3299732847251899</c:v>
                </c:pt>
                <c:pt idx="5">
                  <c:v>2.2662133061789498</c:v>
                </c:pt>
                <c:pt idx="6">
                  <c:v>2.387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b1'!$C$14:$C$20</c15:f>
                <c15:dlblRangeCache>
                  <c:ptCount val="7"/>
                  <c:pt idx="0">
                    <c:v>-2.12</c:v>
                  </c:pt>
                  <c:pt idx="1">
                    <c:v>2.95</c:v>
                  </c:pt>
                  <c:pt idx="2">
                    <c:v>5.21</c:v>
                  </c:pt>
                  <c:pt idx="3">
                    <c:v>5.06</c:v>
                  </c:pt>
                  <c:pt idx="4">
                    <c:v>7.33</c:v>
                  </c:pt>
                  <c:pt idx="5">
                    <c:v>2.27</c:v>
                  </c:pt>
                  <c:pt idx="6">
                    <c:v>2.39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0D6-429C-A32E-0A81AF87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'gg Utt'!$B$41</c:f>
              <c:strCache>
                <c:ptCount val="1"/>
                <c:pt idx="0">
                  <c:v>m-o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2E9FA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rgbClr val="FFE1D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rgbClr val="E8FCF5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rgbClr val="FFEBF9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b0'!$B$3:$B$6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m+p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0.37320551503488752</c:v>
                  </c:pt>
                  <c:pt idx="1">
                    <c:v>0.66711975624152731</c:v>
                  </c:pt>
                  <c:pt idx="2">
                    <c:v>0.44393226263608498</c:v>
                  </c:pt>
                  <c:pt idx="3">
                    <c:v>0.95474005344849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0.37320551503488752</c:v>
                  </c:pt>
                  <c:pt idx="1">
                    <c:v>0.66711975624152731</c:v>
                  </c:pt>
                  <c:pt idx="2">
                    <c:v>0.44393226263608498</c:v>
                  </c:pt>
                  <c:pt idx="3">
                    <c:v>0.95474005344849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</c:formatCode>
                <c:ptCount val="4"/>
                <c:pt idx="0" formatCode="0.0">
                  <c:v>-0.38442111827453201</c:v>
                </c:pt>
                <c:pt idx="1">
                  <c:v>1.9090454207855701E-2</c:v>
                </c:pt>
                <c:pt idx="2" formatCode="0.0">
                  <c:v>0.20147082685336401</c:v>
                </c:pt>
                <c:pt idx="3" formatCode="0.0">
                  <c:v>1.45782068605973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At val="-2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3.0830614950563363E-2"/>
              <c:y val="0.164357063328855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'gg Utt'!$B$41</c:f>
              <c:strCache>
                <c:ptCount val="1"/>
                <c:pt idx="0">
                  <c:v>m-o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2">
                    <a:lumMod val="50000"/>
                  </a:schemeClr>
                </a:solidFill>
                <a:prstDash val="sysDot"/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m+p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b1'!$K$3:$K$8</c:f>
                <c:numCache>
                  <c:formatCode>General</c:formatCode>
                  <c:ptCount val="6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</c:numCache>
              </c:numRef>
            </c:plus>
            <c:minus>
              <c:numRef>
                <c:f>'Utt Mode+ b1'!$K$3:$K$8</c:f>
                <c:numCache>
                  <c:formatCode>General</c:formatCode>
                  <c:ptCount val="6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b1'!$C$3:$C$8</c:f>
              <c:numCache>
                <c:formatCode>0.0</c:formatCode>
                <c:ptCount val="6"/>
                <c:pt idx="0">
                  <c:v>0.40351143034436199</c:v>
                </c:pt>
                <c:pt idx="1">
                  <c:v>0.58589431295815897</c:v>
                </c:pt>
                <c:pt idx="2">
                  <c:v>1.84223688012531</c:v>
                </c:pt>
                <c:pt idx="3">
                  <c:v>0.182381465988318</c:v>
                </c:pt>
                <c:pt idx="4">
                  <c:v>1.4387253254113199</c:v>
                </c:pt>
                <c:pt idx="5">
                  <c:v>1.2563404154848301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sz="830"/>
                </a:pPr>
                <a:r>
                  <a:rPr lang="en-US" sz="830"/>
                  <a:t>Est. diff.  (ST)</a:t>
                </a:r>
              </a:p>
            </c:rich>
          </c:tx>
          <c:layout>
            <c:manualLayout>
              <c:xMode val="edge"/>
              <c:yMode val="edge"/>
              <c:x val="3.5824397370809356E-2"/>
              <c:y val="0.326152197213290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30"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30"/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'gg Utt'!$B$41</c:f>
              <c:strCache>
                <c:ptCount val="1"/>
                <c:pt idx="0">
                  <c:v>m-o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2E9FA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5ED-4849-BD85-1A6A8F114B3C}"/>
              </c:ext>
            </c:extLst>
          </c:dPt>
          <c:dPt>
            <c:idx val="1"/>
            <c:invertIfNegative val="0"/>
            <c:bubble3D val="0"/>
            <c:spPr>
              <a:solidFill>
                <a:srgbClr val="FFE1D1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5ED-4849-BD85-1A6A8F114B3C}"/>
              </c:ext>
            </c:extLst>
          </c:dPt>
          <c:dPt>
            <c:idx val="2"/>
            <c:invertIfNegative val="0"/>
            <c:bubble3D val="0"/>
            <c:spPr>
              <a:solidFill>
                <a:srgbClr val="E8FCF5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5ED-4849-BD85-1A6A8F114B3C}"/>
              </c:ext>
            </c:extLst>
          </c:dPt>
          <c:dPt>
            <c:idx val="3"/>
            <c:invertIfNegative val="0"/>
            <c:bubble3D val="0"/>
            <c:spPr>
              <a:solidFill>
                <a:srgbClr val="FFEBF9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5ED-4849-BD85-1A6A8F114B3C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ED-4849-BD85-1A6A8F114B3C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m+p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5ED-4849-BD85-1A6A8F114B3C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5ED-4849-BD85-1A6A8F114B3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5ED-4849-BD85-1A6A8F114B3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5ED-4849-BD85-1A6A8F114B3C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1.7503205463268239</c:v>
                  </c:pt>
                  <c:pt idx="1">
                    <c:v>2.6509456108291496</c:v>
                  </c:pt>
                  <c:pt idx="2">
                    <c:v>1.1763994649199001</c:v>
                  </c:pt>
                  <c:pt idx="3">
                    <c:v>2.0830898749356601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1.7503205463268239</c:v>
                  </c:pt>
                  <c:pt idx="1">
                    <c:v>2.6509456108291496</c:v>
                  </c:pt>
                  <c:pt idx="2">
                    <c:v>1.1763994649199001</c:v>
                  </c:pt>
                  <c:pt idx="3">
                    <c:v>2.0830898749356601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b0'!$B$11:$B$14</c:f>
              <c:numCache>
                <c:formatCode>0</c:formatCode>
                <c:ptCount val="4"/>
                <c:pt idx="0" formatCode="0.00">
                  <c:v>-1.8878020075566999</c:v>
                </c:pt>
                <c:pt idx="1">
                  <c:v>-4.0033950883418896</c:v>
                </c:pt>
                <c:pt idx="2" formatCode="0.00">
                  <c:v>1.0603770561059001</c:v>
                </c:pt>
                <c:pt idx="3" formatCode="0.00">
                  <c:v>3.3264548312707198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ED-4849-BD85-1A6A8F11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At val="-15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(ST/s)</a:t>
                </a:r>
              </a:p>
            </c:rich>
          </c:tx>
          <c:layout>
            <c:manualLayout>
              <c:xMode val="edge"/>
              <c:yMode val="edge"/>
              <c:x val="4.9200905808897473E-2"/>
              <c:y val="0.19940602658871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'gg Utt'!$B$41</c:f>
              <c:strCache>
                <c:ptCount val="1"/>
                <c:pt idx="0">
                  <c:v>m-o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diamond"/>
            <c:size val="7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E3D-470F-80FD-510F247F5F0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E3D-470F-80FD-510F247F5F0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E3D-470F-80FD-510F247F5F0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E3D-470F-80FD-510F247F5F0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E3D-470F-80FD-510F247F5F0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E3D-470F-80FD-510F247F5F0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2">
                    <a:lumMod val="50000"/>
                  </a:schemeClr>
                </a:solidFill>
                <a:prstDash val="sysDot"/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D-470F-80FD-510F247F5F0A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m+p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b1'!$K$14:$K$19</c:f>
                <c:numCache>
                  <c:formatCode>General</c:formatCode>
                  <c:ptCount val="6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</c:numCache>
              </c:numRef>
            </c:plus>
            <c:minus>
              <c:numRef>
                <c:f>'Utt Mode+ b1'!$K$14:$K$19</c:f>
                <c:numCache>
                  <c:formatCode>General</c:formatCode>
                  <c:ptCount val="6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b1'!$C$14:$C$19</c:f>
              <c:numCache>
                <c:formatCode>0.00</c:formatCode>
                <c:ptCount val="6"/>
                <c:pt idx="0">
                  <c:v>-2.1156899611068098</c:v>
                </c:pt>
                <c:pt idx="1">
                  <c:v>2.9480659025186999</c:v>
                </c:pt>
                <c:pt idx="2">
                  <c:v>5.2142843855174696</c:v>
                </c:pt>
                <c:pt idx="3">
                  <c:v>5.06375732966145</c:v>
                </c:pt>
                <c:pt idx="4">
                  <c:v>7.3299732847251899</c:v>
                </c:pt>
                <c:pt idx="5">
                  <c:v>2.2662133061789498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3D-470F-80FD-510F247F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sz="830"/>
                </a:pPr>
                <a:r>
                  <a:rPr lang="en-US" sz="830"/>
                  <a:t>Est.</a:t>
                </a:r>
                <a:r>
                  <a:rPr lang="en-US" sz="830" baseline="0"/>
                  <a:t> diff.</a:t>
                </a:r>
                <a:r>
                  <a:rPr lang="en-US" sz="830"/>
                  <a:t>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30"/>
            </a:pPr>
            <a:endParaRPr lang="en-US"/>
          </a:p>
        </c:txPr>
        <c:crossAx val="6973903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30"/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utterance-wide parameters</c:v>
          </c:tx>
          <c:spPr>
            <a:ln w="25400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0-AB60-4996-8901-872CFBC41266}"/>
              </c:ext>
            </c:extLst>
          </c:dPt>
          <c:dPt>
            <c:idx val="2"/>
            <c:marker>
              <c:symbol val="squar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1-AB60-4996-8901-872CFBC41266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2-AB60-4996-8901-872CFBC41266}"/>
              </c:ext>
            </c:extLst>
          </c:dPt>
          <c:dLbls>
            <c:delete val="1"/>
          </c:dLbls>
          <c:xVal>
            <c:numRef>
              <c:f>'Utt Mode+ b0'!$B$3:$B$6</c:f>
              <c:numCache>
                <c:formatCode>0</c:formatCode>
                <c:ptCount val="4"/>
                <c:pt idx="0" formatCode="0.0">
                  <c:v>-0.38442111827453201</c:v>
                </c:pt>
                <c:pt idx="1">
                  <c:v>1.9090454207855701E-2</c:v>
                </c:pt>
                <c:pt idx="2" formatCode="0.0">
                  <c:v>0.20147082685336401</c:v>
                </c:pt>
                <c:pt idx="3" formatCode="0.0">
                  <c:v>1.45782068605973</c:v>
                </c:pt>
              </c:numCache>
            </c:numRef>
          </c:xVal>
          <c:yVal>
            <c:numRef>
              <c:f>'Utt Mode b0'!$B$11:$B$14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60-4996-8901-872CFBC41266}"/>
            </c:ext>
          </c:extLst>
        </c:ser>
        <c:ser>
          <c:idx val="0"/>
          <c:order val="1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60-4996-8901-872CFBC41266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B60-4996-8901-872CFBC41266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B60-4996-8901-872CFBC41266}"/>
              </c:ext>
            </c:extLst>
          </c:dPt>
          <c:dPt>
            <c:idx val="3"/>
            <c:marker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B60-4996-8901-872CFBC41266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A0EE05E8-3E44-48E9-9F6A-BBDA163CF8B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B60-4996-8901-872CFBC41266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EB15558C-3052-4715-80BB-F3984CE49FA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B60-4996-8901-872CFBC41266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CBBBEBE8-BF90-4C67-BEBC-1594D8BAA1F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B60-4996-8901-872CFBC41266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8F767CAE-CBB3-4776-BC3E-924E57F2223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B60-4996-8901-872CFBC412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('Utt Mode b0'!$B$3,'Utt Mode b0'!$B$4,'Utt Mode b0'!$B$5,'Utt Mode b0'!$B$6)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xVal>
          <c:yVal>
            <c:numRef>
              <c:f>('Utt Mode b0'!$B$11,'Utt Mode b0'!$B$12,'Utt Mode b0'!$B$13,'Utt Mode b0'!$B$14)</c:f>
              <c:numCache>
                <c:formatCode>0.00</c:formatCode>
                <c:ptCount val="4"/>
                <c:pt idx="0">
                  <c:v>-1.0847290853465901</c:v>
                </c:pt>
                <c:pt idx="1">
                  <c:v>-3.5085954682927101</c:v>
                </c:pt>
                <c:pt idx="2">
                  <c:v>2.4650478731333498</c:v>
                </c:pt>
                <c:pt idx="3">
                  <c:v>5.52394654787373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B60-4996-8901-872CFBC412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speaker median)</a:t>
                </a:r>
              </a:p>
            </c:rich>
          </c:tx>
          <c:layout>
            <c:manualLayout>
              <c:xMode val="edge"/>
              <c:yMode val="edge"/>
              <c:x val="0.25348556998556998"/>
              <c:y val="0.89705881823163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ajorUnit val="1"/>
        <c:minorUnit val="1"/>
      </c:valAx>
      <c:valAx>
        <c:axId val="386213872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in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f</a:t>
            </a:r>
            <a:r>
              <a:rPr lang="en-US" i="0" baseline="-25000"/>
              <a:t>0</a:t>
            </a:r>
            <a:r>
              <a:rPr lang="en-US"/>
              <a:t>(t)</a:t>
            </a:r>
            <a:r>
              <a:rPr lang="en-US" baseline="0"/>
              <a:t> </a:t>
            </a:r>
            <a:r>
              <a:rPr lang="en-US"/>
              <a:t>slopes</a:t>
            </a:r>
          </a:p>
        </c:rich>
      </c:tx>
      <c:layout>
        <c:manualLayout>
          <c:xMode val="edge"/>
          <c:yMode val="edge"/>
          <c:x val="0.18795670995670996"/>
          <c:y val="2.44850427350427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0950251802425554"/>
          <c:w val="0.55843633096595013"/>
          <c:h val="0.54879022132645605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(m-o)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1-4BD9-9E28-24718F44E708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(m+p)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3B1-4BD9-9E28-24718F44E708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B1-4BD9-9E28-24718F44E708}"/>
            </c:ext>
          </c:extLst>
        </c:ser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(m-o)</c:v>
                </c:pt>
              </c:strCache>
              <c:extLst xmlns:c15="http://schemas.microsoft.com/office/drawing/2012/chart"/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3B1-4BD9-9E28-24718F44E708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3B1-4BD9-9E28-24718F44E708}"/>
            </c:ext>
          </c:extLst>
        </c:ser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(m-o)</c:v>
                </c:pt>
              </c:strCache>
              <c:extLst xmlns:c15="http://schemas.microsoft.com/office/drawing/2012/chart"/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3B1-4BD9-9E28-24718F44E708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3B1-4BD9-9E28-24718F44E708}"/>
            </c:ext>
          </c:extLst>
        </c:ser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(m-o)</c:v>
                </c:pt>
              </c:strCache>
              <c:extLst xmlns:c15="http://schemas.microsoft.com/office/drawing/2012/chart"/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3B1-4BD9-9E28-24718F44E708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3B1-4BD9-9E28-24718F44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At val="-5"/>
        <c:crossBetween val="midCat"/>
        <c:majorUnit val="0.5"/>
        <c:minorUnit val="0.25"/>
      </c:valAx>
      <c:valAx>
        <c:axId val="755857071"/>
        <c:scaling>
          <c:orientation val="minMax"/>
          <c:max val="5"/>
          <c:min val="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5"/>
        <c:minorUnit val="2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MDC</a:t>
            </a:r>
          </a:p>
        </c:rich>
      </c:tx>
      <c:layout>
        <c:manualLayout>
          <c:xMode val="edge"/>
          <c:yMode val="edge"/>
          <c:x val="0.33456574343425788"/>
          <c:y val="3.35304246662722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0950251802425554"/>
          <c:w val="0.55843633096595013"/>
          <c:h val="0.54879022132645605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(m-o)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3-496E-ABFE-920B574BB55F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(m+p)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4A3-496E-ABFE-920B574BB55F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3-496E-ABFE-920B574B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4A3-496E-ABFE-920B574BB55F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(m+p)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8.0258806308916348</c:v>
                      </c:pt>
                      <c:pt idx="1">
                        <c:v>-7.9876997224759236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A3-496E-ABFE-920B574BB55F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A3-496E-ABFE-920B574BB55F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(m+p)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-1.9192832853584361</c:v>
                      </c:pt>
                      <c:pt idx="1">
                        <c:v>2.3222249390651641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A3-496E-ABFE-920B574BB55F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A3-496E-ABFE-920B574BB55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(m+p)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-5.1950889764817099</c:v>
                      </c:pt>
                      <c:pt idx="1">
                        <c:v>6.8543804893948037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A3-496E-ABFE-920B574BB55F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At val="-5"/>
        <c:crossBetween val="midCat"/>
        <c:majorUnit val="0.5"/>
        <c:minorUnit val="0.25"/>
      </c:valAx>
      <c:valAx>
        <c:axId val="755857071"/>
        <c:scaling>
          <c:orientation val="minMax"/>
          <c:max val="5"/>
          <c:min val="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5"/>
        <c:minorUnit val="2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MWH</a:t>
            </a:r>
          </a:p>
        </c:rich>
      </c:tx>
      <c:layout>
        <c:manualLayout>
          <c:xMode val="edge"/>
          <c:yMode val="edge"/>
          <c:x val="0.33456574343425788"/>
          <c:y val="3.35304246662722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0950251802425554"/>
          <c:w val="0.55843633096595013"/>
          <c:h val="0.54879022132645605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(m-o)</c:v>
                </c:pt>
              </c:strCache>
            </c:strRef>
          </c:tx>
          <c:spPr>
            <a:ln w="25400" cap="rnd" cmpd="sng">
              <a:solidFill>
                <a:srgbClr val="FEA96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2C5-4DDE-A5E1-FA135569C0A4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(m+p)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5400" cap="rnd">
                <a:solidFill>
                  <a:srgbClr val="E6610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C5-4DDE-A5E1-FA135569C0A4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2C5-4DDE-A5E1-FA135569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sng">
                    <a:solidFill>
                      <a:srgbClr val="7570B3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2C5-4DDE-A5E1-FA135569C0A4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(m+p)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62C5-4DDE-A5E1-FA135569C0A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3.3911828968388678</c:v>
                      </c:pt>
                      <c:pt idx="1">
                        <c:v>-4.1600251333879319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C5-4DDE-A5E1-FA135569C0A4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C5-4DDE-A5E1-FA135569C0A4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(m+p)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-1.9192832853584361</c:v>
                      </c:pt>
                      <c:pt idx="1">
                        <c:v>2.3222249390651641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C5-4DDE-A5E1-FA135569C0A4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C5-4DDE-A5E1-FA135569C0A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(m+p)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-5.1950889764817099</c:v>
                      </c:pt>
                      <c:pt idx="1">
                        <c:v>6.8543804893948037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C5-4DDE-A5E1-FA135569C0A4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At val="-5"/>
        <c:crossBetween val="midCat"/>
        <c:majorUnit val="0.5"/>
        <c:minorUnit val="0.25"/>
      </c:valAx>
      <c:valAx>
        <c:axId val="755857071"/>
        <c:scaling>
          <c:orientation val="minMax"/>
          <c:max val="5"/>
          <c:min val="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5"/>
        <c:minorUnit val="2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D-4F81-8274-2F6C9EB4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MYN</a:t>
            </a:r>
          </a:p>
        </c:rich>
      </c:tx>
      <c:layout>
        <c:manualLayout>
          <c:xMode val="edge"/>
          <c:yMode val="edge"/>
          <c:x val="0.33456574343425788"/>
          <c:y val="3.35304246662722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0950251802425554"/>
          <c:w val="0.55843633096595013"/>
          <c:h val="0.54879022132645605"/>
        </c:manualLayout>
      </c:layout>
      <c:scatterChart>
        <c:scatterStyle val="smoothMarker"/>
        <c:varyColors val="0"/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(m-o)</c:v>
                </c:pt>
              </c:strCache>
            </c:strRef>
          </c:tx>
          <c:spPr>
            <a:ln w="25400" cap="rnd" cmpd="sng">
              <a:solidFill>
                <a:srgbClr val="82EAC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A0E-41F6-B9C6-0752C214E976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(m+p)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A0E-41F6-B9C6-0752C214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sng">
                    <a:solidFill>
                      <a:srgbClr val="7570B3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A0E-41F6-B9C6-0752C214E976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(m+p)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2A0E-41F6-B9C6-0752C214E976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3.3911828968388678</c:v>
                      </c:pt>
                      <c:pt idx="1">
                        <c:v>-4.1600251333879319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0E-41F6-B9C6-0752C214E976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0E-41F6-B9C6-0752C214E976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(m+p)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8.0258806308916348</c:v>
                      </c:pt>
                      <c:pt idx="1">
                        <c:v>-7.9876997224759236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0E-41F6-B9C6-0752C214E976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0E-41F6-B9C6-0752C214E9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(m+p)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-5.1950889764817099</c:v>
                      </c:pt>
                      <c:pt idx="1">
                        <c:v>6.8543804893948037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A0E-41F6-B9C6-0752C214E976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At val="-5"/>
        <c:crossBetween val="midCat"/>
        <c:majorUnit val="0.5"/>
        <c:minorUnit val="0.25"/>
      </c:valAx>
      <c:valAx>
        <c:axId val="755857071"/>
        <c:scaling>
          <c:orientation val="minMax"/>
          <c:max val="5"/>
          <c:min val="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5"/>
        <c:minorUnit val="2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MDQ</a:t>
            </a:r>
          </a:p>
        </c:rich>
      </c:tx>
      <c:layout>
        <c:manualLayout>
          <c:xMode val="edge"/>
          <c:yMode val="edge"/>
          <c:x val="0.33456574343425788"/>
          <c:y val="3.35304246662722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0950251802425554"/>
          <c:w val="0.55843633096595013"/>
          <c:h val="0.54879022132645605"/>
        </c:manualLayout>
      </c:layout>
      <c:scatterChart>
        <c:scatterStyle val="smoothMarker"/>
        <c:varyColors val="0"/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(m-o)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5400" cap="rnd" cmpd="sng">
                <a:solidFill>
                  <a:srgbClr val="F397C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7B-4BC3-ADCC-BE174F57D689}"/>
              </c:ext>
            </c:extLst>
          </c:dPt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B7B-4BC3-ADCC-BE174F57D689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(m+p)</c:v>
                </c:pt>
              </c:strCache>
            </c:strRef>
          </c:tx>
          <c:spPr>
            <a:ln w="25400" cap="rnd" cmpd="sng">
              <a:solidFill>
                <a:srgbClr val="E7298A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B7B-4BC3-ADCC-BE174F57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sng">
                    <a:solidFill>
                      <a:srgbClr val="7570B3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B7B-4BC3-ADCC-BE174F57D689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(m+p)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B7B-4BC3-ADCC-BE174F57D689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3.3911828968388678</c:v>
                      </c:pt>
                      <c:pt idx="1">
                        <c:v>-4.1600251333879319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7B-4BC3-ADCC-BE174F57D689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7B-4BC3-ADCC-BE174F57D68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(m+p)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8.0258806308916348</c:v>
                      </c:pt>
                      <c:pt idx="1">
                        <c:v>-7.9876997224759236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7B-4BC3-ADCC-BE174F57D689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7B-4BC3-ADCC-BE174F57D689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(m+p)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-1.9192832853584361</c:v>
                      </c:pt>
                      <c:pt idx="1">
                        <c:v>2.3222249390651641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B7B-4BC3-ADCC-BE174F57D689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At val="-5"/>
        <c:crossBetween val="midCat"/>
        <c:majorUnit val="0.5"/>
        <c:minorUnit val="0.25"/>
      </c:valAx>
      <c:valAx>
        <c:axId val="755857071"/>
        <c:scaling>
          <c:orientation val="minMax"/>
          <c:max val="5"/>
          <c:min val="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5"/>
        <c:minorUnit val="2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1817928342369E-2"/>
          <c:y val="5.1837302344293137E-2"/>
          <c:w val="0.77972849574794367"/>
          <c:h val="0.6190200322366216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(m-o)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1.6459183804206492</c:v>
                </c:pt>
                <c:pt idx="1">
                  <c:v>-2.6929979609657111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2-4C4A-B889-E2A8F5B40846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(m+p)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FA2-4C4A-B889-E2A8F5B40846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2-4C4A-B889-E2A8F5B40846}"/>
            </c:ext>
          </c:extLst>
        </c:ser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(m-o)</c:v>
                </c:pt>
              </c:strCache>
              <c:extLst xmlns:c15="http://schemas.microsoft.com/office/drawing/2012/chart"/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6.9674378014790808</c:v>
                </c:pt>
                <c:pt idx="1">
                  <c:v>-7.0669440716917595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FA2-4C4A-B889-E2A8F5B40846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3FA2-4C4A-B889-E2A8F5B40846}"/>
            </c:ext>
          </c:extLst>
        </c:ser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(m-o)</c:v>
                </c:pt>
              </c:strCache>
              <c:extLst xmlns:c15="http://schemas.microsoft.com/office/drawing/2012/chart"/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-4.692658172906655</c:v>
                </c:pt>
                <c:pt idx="1">
                  <c:v>5.1675333196267443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3FA2-4C4A-B889-E2A8F5B40846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3FA2-4C4A-B889-E2A8F5B40846}"/>
            </c:ext>
          </c:extLst>
        </c:ser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(m-o)</c:v>
                </c:pt>
              </c:strCache>
              <c:extLst xmlns:c15="http://schemas.microsoft.com/office/drawing/2012/chart"/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-9.3741069349452104</c:v>
                </c:pt>
                <c:pt idx="1">
                  <c:v>11.285330669107505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3FA2-4C4A-B889-E2A8F5B40846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(m+p)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3FA2-4C4A-B889-E2A8F5B4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ajorGridlines/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755857071"/>
        <c:crossesAt val="0"/>
        <c:crossBetween val="midCat"/>
        <c:majorUnit val="0.5"/>
        <c:minorUnit val="0.1"/>
      </c:valAx>
      <c:valAx>
        <c:axId val="755857071"/>
        <c:scaling>
          <c:orientation val="minMax"/>
          <c:max val="6"/>
          <c:min val="-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i="1"/>
                  <a:t>f</a:t>
                </a:r>
                <a:r>
                  <a:rPr lang="en-IE" baseline="-25000"/>
                  <a:t>0</a:t>
                </a:r>
                <a:r>
                  <a:rPr lang="en-IE"/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c:spPr>
        <c:crossAx val="755857903"/>
        <c:crosses val="max"/>
        <c:crossBetween val="midCat"/>
        <c:majorUnit val="2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0598110971699429"/>
          <c:y val="0.80577437546779707"/>
          <c:w val="0.80279241600446138"/>
          <c:h val="0.16856553665293367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1817928342369E-2"/>
          <c:y val="5.1837302344293137E-2"/>
          <c:w val="0.77972849574794367"/>
          <c:h val="0.82438903470399538"/>
        </c:manualLayout>
      </c:layout>
      <c:scatterChart>
        <c:scatterStyle val="smoothMarker"/>
        <c:varyColors val="0"/>
        <c:ser>
          <c:idx val="4"/>
          <c:order val="1"/>
          <c:tx>
            <c:v>MDC</c:v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202-4809-BEF9-4B95A1C43AEB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02-4809-BEF9-4B95A1C43AEB}"/>
            </c:ext>
          </c:extLst>
        </c:ser>
        <c:ser>
          <c:idx val="5"/>
          <c:order val="3"/>
          <c:tx>
            <c:v>MWH</c:v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1202-4809-BEF9-4B95A1C43AEB}"/>
            </c:ext>
          </c:extLst>
        </c:ser>
        <c:ser>
          <c:idx val="6"/>
          <c:order val="5"/>
          <c:tx>
            <c:v>MYN</c:v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1202-4809-BEF9-4B95A1C43AEB}"/>
            </c:ext>
          </c:extLst>
        </c:ser>
        <c:ser>
          <c:idx val="7"/>
          <c:order val="7"/>
          <c:tx>
            <c:v>MDQ</c:v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202-4809-BEF9-4B95A1C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sng">
                    <a:solidFill>
                      <a:srgbClr val="7570B3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202-4809-BEF9-4B95A1C43AEB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02-4809-BEF9-4B95A1C43AE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02-4809-BEF9-4B95A1C43AE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02-4809-BEF9-4B95A1C43AE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ajorGridlines/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755857071"/>
        <c:crossesAt val="0"/>
        <c:crossBetween val="midCat"/>
        <c:majorUnit val="0.5"/>
        <c:minorUnit val="0.1"/>
      </c:valAx>
      <c:valAx>
        <c:axId val="755857071"/>
        <c:scaling>
          <c:orientation val="minMax"/>
          <c:max val="4"/>
          <c:min val="-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i="1"/>
                  <a:t>f</a:t>
                </a:r>
                <a:r>
                  <a:rPr lang="en-IE" baseline="-25000"/>
                  <a:t>0</a:t>
                </a:r>
                <a:r>
                  <a:rPr lang="en-IE"/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c:spPr>
        <c:crossAx val="755857903"/>
        <c:crosses val="max"/>
        <c:crossBetween val="midCat"/>
        <c:majorUnit val="2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136504329004329"/>
          <c:y val="0.66738444152814236"/>
          <c:w val="0.26674494949494948"/>
          <c:h val="0.20183730158730159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1817928342369E-2"/>
          <c:y val="5.1837302344293137E-2"/>
          <c:w val="0.77972849574794367"/>
          <c:h val="0.82438903470399538"/>
        </c:manualLayout>
      </c:layout>
      <c:scatterChart>
        <c:scatterStyle val="smoothMarker"/>
        <c:varyColors val="0"/>
        <c:ser>
          <c:idx val="4"/>
          <c:order val="1"/>
          <c:tx>
            <c:v>MDC</c:v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2775-4FC9-8B34-4589AB114F61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5-4FC9-8B34-4589AB114F61}"/>
            </c:ext>
          </c:extLst>
        </c:ser>
        <c:ser>
          <c:idx val="5"/>
          <c:order val="3"/>
          <c:tx>
            <c:v>MWH</c:v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775-4FC9-8B34-4589AB114F61}"/>
            </c:ext>
          </c:extLst>
        </c:ser>
        <c:ser>
          <c:idx val="6"/>
          <c:order val="5"/>
          <c:tx>
            <c:v>MYN</c:v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775-4FC9-8B34-4589AB114F61}"/>
            </c:ext>
          </c:extLst>
        </c:ser>
        <c:ser>
          <c:idx val="7"/>
          <c:order val="7"/>
          <c:tx>
            <c:v>MDQ</c:v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2775-4FC9-8B34-4589AB11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sng">
                    <a:solidFill>
                      <a:srgbClr val="7570B3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775-4FC9-8B34-4589AB114F61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75-4FC9-8B34-4589AB114F61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75-4FC9-8B34-4589AB114F61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75-4FC9-8B34-4589AB114F61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5"/>
          <c:min val="-0.5"/>
        </c:scaling>
        <c:delete val="1"/>
        <c:axPos val="b"/>
        <c:numFmt formatCode="General" sourceLinked="1"/>
        <c:majorTickMark val="out"/>
        <c:minorTickMark val="none"/>
        <c:tickLblPos val="low"/>
        <c:crossAx val="755857071"/>
        <c:crossesAt val="0"/>
        <c:crossBetween val="midCat"/>
        <c:majorUnit val="0.5"/>
        <c:minorUnit val="0.1"/>
      </c:valAx>
      <c:valAx>
        <c:axId val="755857071"/>
        <c:scaling>
          <c:orientation val="minMax"/>
          <c:max val="4"/>
          <c:min val="-4"/>
        </c:scaling>
        <c:delete val="1"/>
        <c:axPos val="r"/>
        <c:numFmt formatCode="0" sourceLinked="0"/>
        <c:majorTickMark val="out"/>
        <c:minorTickMark val="none"/>
        <c:tickLblPos val="nextTo"/>
        <c:crossAx val="755857903"/>
        <c:crosses val="max"/>
        <c:crossBetween val="midCat"/>
        <c:majorUnit val="2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1"/>
          <c:tx>
            <c:v>ST</c:v>
          </c:tx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51D-45D7-8911-507A555126F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51D-45D7-8911-507A555126F8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51D-45D7-8911-507A555126F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51D-45D7-8911-507A555126F8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0.37320551503488752</c:v>
                  </c:pt>
                  <c:pt idx="1">
                    <c:v>0.66711975624152731</c:v>
                  </c:pt>
                  <c:pt idx="2">
                    <c:v>0.44393226263608498</c:v>
                  </c:pt>
                  <c:pt idx="3">
                    <c:v>0.95474005344849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0.37320551503488752</c:v>
                  </c:pt>
                  <c:pt idx="1">
                    <c:v>0.66711975624152731</c:v>
                  </c:pt>
                  <c:pt idx="2">
                    <c:v>0.44393226263608498</c:v>
                  </c:pt>
                  <c:pt idx="3">
                    <c:v>0.95474005344849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</c:formatCode>
                <c:ptCount val="4"/>
                <c:pt idx="0" formatCode="0.0">
                  <c:v>-0.38442111827453201</c:v>
                </c:pt>
                <c:pt idx="1">
                  <c:v>1.9090454207855701E-2</c:v>
                </c:pt>
                <c:pt idx="2" formatCode="0.0">
                  <c:v>0.20147082685336401</c:v>
                </c:pt>
                <c:pt idx="3" formatCode="0.0">
                  <c:v>1.45782068605973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1D-45D7-8911-507A5551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'gg Utt+'!$B$41</c15:sqref>
                        </c15:formulaRef>
                      </c:ext>
                    </c:extLst>
                    <c:strCache>
                      <c:ptCount val="1"/>
                      <c:pt idx="0">
                        <c:v>m-o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 w="12700"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E2E9FA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351D-45D7-8911-507A555126F8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rgbClr val="FFE1D1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351D-45D7-8911-507A555126F8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E8FCF5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351D-45D7-8911-507A555126F8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rgbClr val="FFEBF9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351D-45D7-8911-507A555126F8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'Utt Mode b0'!$J$3:$J$6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0.35169397898047794</c:v>
                        </c:pt>
                        <c:pt idx="1">
                          <c:v>0.62059640501843849</c:v>
                        </c:pt>
                        <c:pt idx="2">
                          <c:v>0.38545876783722299</c:v>
                        </c:pt>
                        <c:pt idx="3">
                          <c:v>0.96844041787042023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'Utt Mode b0'!$J$3:$J$6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0.35169397898047794</c:v>
                        </c:pt>
                        <c:pt idx="1">
                          <c:v>0.62059640501843849</c:v>
                        </c:pt>
                        <c:pt idx="2">
                          <c:v>0.38545876783722299</c:v>
                        </c:pt>
                        <c:pt idx="3">
                          <c:v>0.96844041787042023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'Utt Mode b0'!$A$3:$A$6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'Utt Mode b0'!$B$3:$B$6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-0.52353979027253095</c:v>
                      </c:pt>
                      <c:pt idx="1">
                        <c:v>-4.9753135106339497E-2</c:v>
                      </c:pt>
                      <c:pt idx="2">
                        <c:v>0.23743757336004501</c:v>
                      </c:pt>
                      <c:pt idx="3">
                        <c:v>1.67378616080225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51D-45D7-8911-507A555126F8}"/>
                  </c:ext>
                </c:extLst>
              </c15:ser>
            </c15:filteredBarSeries>
          </c:ext>
        </c:extLst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At val="-2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3.0830614950563363E-2"/>
              <c:y val="0.164357063328855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ST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b1'!$K$3:$K$8</c:f>
                <c:numCache>
                  <c:formatCode>General</c:formatCode>
                  <c:ptCount val="6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</c:numCache>
              </c:numRef>
            </c:plus>
            <c:minus>
              <c:numRef>
                <c:f>'Utt Mode+ b1'!$K$3:$K$8</c:f>
                <c:numCache>
                  <c:formatCode>General</c:formatCode>
                  <c:ptCount val="6"/>
                  <c:pt idx="0">
                    <c:v>0.67747185753479</c:v>
                  </c:pt>
                  <c:pt idx="1">
                    <c:v>0.47499551163474796</c:v>
                  </c:pt>
                  <c:pt idx="2">
                    <c:v>0.90609604007307398</c:v>
                  </c:pt>
                  <c:pt idx="3">
                    <c:v>0.55993207666306499</c:v>
                  </c:pt>
                  <c:pt idx="4">
                    <c:v>1.3323980433490998</c:v>
                  </c:pt>
                  <c:pt idx="5">
                    <c:v>1.1747029173616101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b1'!$C$3:$C$8</c:f>
              <c:numCache>
                <c:formatCode>0.0</c:formatCode>
                <c:ptCount val="6"/>
                <c:pt idx="0">
                  <c:v>0.40351143034436199</c:v>
                </c:pt>
                <c:pt idx="1">
                  <c:v>0.58589431295815897</c:v>
                </c:pt>
                <c:pt idx="2">
                  <c:v>1.84223688012531</c:v>
                </c:pt>
                <c:pt idx="3">
                  <c:v>0.182381465988318</c:v>
                </c:pt>
                <c:pt idx="4">
                  <c:v>1.4387253254113199</c:v>
                </c:pt>
                <c:pt idx="5">
                  <c:v>1.2563404154848301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C-49BF-9E8F-2E2EE2BD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'gg Utt+'!$B$41</c15:sqref>
                        </c15:formulaRef>
                      </c:ext>
                    </c:extLst>
                    <c:strCache>
                      <c:ptCount val="1"/>
                      <c:pt idx="0">
                        <c:v>m-o</c:v>
                      </c:pt>
                    </c:strCache>
                  </c:strRef>
                </c:tx>
                <c:spPr>
                  <a:ln w="19050" cap="rnd">
                    <a:noFill/>
                    <a:prstDash val="sysDash"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bg1">
                        <a:lumMod val="95000"/>
                      </a:schemeClr>
                    </a:solidFill>
                    <a:ln w="12700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'Utt Mode b1'!$K$3:$K$8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0.69106989302294397</c:v>
                        </c:pt>
                        <c:pt idx="1">
                          <c:v>0.55440104533191104</c:v>
                        </c:pt>
                        <c:pt idx="2">
                          <c:v>0.92646698290423979</c:v>
                        </c:pt>
                        <c:pt idx="3">
                          <c:v>0.56338719212136201</c:v>
                        </c:pt>
                        <c:pt idx="4">
                          <c:v>1.336983203676481</c:v>
                        </c:pt>
                        <c:pt idx="5">
                          <c:v>1.2626062860549159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'Utt Mode b1'!$K$3:$K$8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0.69106989302294397</c:v>
                        </c:pt>
                        <c:pt idx="1">
                          <c:v>0.55440104533191104</c:v>
                        </c:pt>
                        <c:pt idx="2">
                          <c:v>0.92646698290423979</c:v>
                        </c:pt>
                        <c:pt idx="3">
                          <c:v>0.56338719212136201</c:v>
                        </c:pt>
                        <c:pt idx="4">
                          <c:v>1.336983203676481</c:v>
                        </c:pt>
                        <c:pt idx="5">
                          <c:v>1.2626062860549159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bg2">
                          <a:lumMod val="50000"/>
                        </a:schemeClr>
                      </a:solidFill>
                      <a:prstDash val="sysDot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('mode b1'!$A$2,'mode b1'!$A$7,'mode b1'!$A$12,'mode b1'!$A$17,'mode b1'!$A$22,'mode b1'!$A$27)</c15:sqref>
                        </c15:formulaRef>
                      </c:ext>
                    </c:extLst>
                    <c:strCache>
                      <c:ptCount val="6"/>
                      <c:pt idx="0">
                        <c:v>MDC MWH</c:v>
                      </c:pt>
                      <c:pt idx="1">
                        <c:v>MDC MYN</c:v>
                      </c:pt>
                      <c:pt idx="2">
                        <c:v>MDC MDQ</c:v>
                      </c:pt>
                      <c:pt idx="3">
                        <c:v>MWH MYN</c:v>
                      </c:pt>
                      <c:pt idx="4">
                        <c:v>MWH MDQ</c:v>
                      </c:pt>
                      <c:pt idx="5">
                        <c:v>MYN  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'Utt Mode b1'!$C$3:$C$8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0.47378459260777001</c:v>
                      </c:pt>
                      <c:pt idx="1">
                        <c:v>0.76097638133650203</c:v>
                      </c:pt>
                      <c:pt idx="2">
                        <c:v>2.1973305450155798</c:v>
                      </c:pt>
                      <c:pt idx="3">
                        <c:v>0.28719182728667603</c:v>
                      </c:pt>
                      <c:pt idx="4">
                        <c:v>1.72354596224421</c:v>
                      </c:pt>
                      <c:pt idx="5">
                        <c:v>1.4363541724389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5C-49BF-9E8F-2E2EE2BD65A4}"/>
                  </c:ext>
                </c:extLst>
              </c15:ser>
            </c15:filteredLineSeries>
          </c:ext>
        </c:extLst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sz="830"/>
                </a:pPr>
                <a:r>
                  <a:rPr lang="en-US" sz="830"/>
                  <a:t>Est. diff.  (ST)</a:t>
                </a:r>
              </a:p>
            </c:rich>
          </c:tx>
          <c:layout>
            <c:manualLayout>
              <c:xMode val="edge"/>
              <c:yMode val="edge"/>
              <c:x val="3.5824397370809356E-2"/>
              <c:y val="0.326152197213290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30"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30"/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1"/>
          <c:tx>
            <c:v>ST/s</c:v>
          </c:tx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2B5-409F-A6F8-18D174F7478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2B5-409F-A6F8-18D174F74782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2B5-409F-A6F8-18D174F7478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2B5-409F-A6F8-18D174F74782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1.7503205463268239</c:v>
                  </c:pt>
                  <c:pt idx="1">
                    <c:v>2.6509456108291496</c:v>
                  </c:pt>
                  <c:pt idx="2">
                    <c:v>1.1763994649199001</c:v>
                  </c:pt>
                  <c:pt idx="3">
                    <c:v>2.0830898749356601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1.7503205463268239</c:v>
                  </c:pt>
                  <c:pt idx="1">
                    <c:v>2.6509456108291496</c:v>
                  </c:pt>
                  <c:pt idx="2">
                    <c:v>1.1763994649199001</c:v>
                  </c:pt>
                  <c:pt idx="3">
                    <c:v>2.0830898749356601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b0'!$B$11:$B$14</c:f>
              <c:numCache>
                <c:formatCode>0</c:formatCode>
                <c:ptCount val="4"/>
                <c:pt idx="0" formatCode="0.00">
                  <c:v>-1.8878020075566999</c:v>
                </c:pt>
                <c:pt idx="1">
                  <c:v>-4.0033950883418896</c:v>
                </c:pt>
                <c:pt idx="2" formatCode="0.00">
                  <c:v>1.0603770561059001</c:v>
                </c:pt>
                <c:pt idx="3" formatCode="0.00">
                  <c:v>3.3264548312707198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B5-409F-A6F8-18D174F74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'gg Utt+'!$B$41</c15:sqref>
                        </c15:formulaRef>
                      </c:ext>
                    </c:extLst>
                    <c:strCache>
                      <c:ptCount val="1"/>
                      <c:pt idx="0">
                        <c:v>m-o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 w="12700">
                    <a:solidFill>
                      <a:schemeClr val="tx1">
                        <a:lumMod val="50000"/>
                        <a:lumOff val="50000"/>
                      </a:schemeClr>
                    </a:solidFill>
                  </a:ln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E2E9FA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  <c:extLst>
                    <c:ext xmlns:c16="http://schemas.microsoft.com/office/drawing/2014/chart" uri="{C3380CC4-5D6E-409C-BE32-E72D297353CC}">
                      <c16:uniqueId val="{00000001-12B5-409F-A6F8-18D174F74782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rgbClr val="FFE1D1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  <c:extLst>
                    <c:ext xmlns:c16="http://schemas.microsoft.com/office/drawing/2014/chart" uri="{C3380CC4-5D6E-409C-BE32-E72D297353CC}">
                      <c16:uniqueId val="{00000003-12B5-409F-A6F8-18D174F74782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E8FCF5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  <c:extLst>
                    <c:ext xmlns:c16="http://schemas.microsoft.com/office/drawing/2014/chart" uri="{C3380CC4-5D6E-409C-BE32-E72D297353CC}">
                      <c16:uniqueId val="{00000005-12B5-409F-A6F8-18D174F74782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rgbClr val="FFEBF9"/>
                    </a:solidFill>
                    <a:ln w="127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  <c:extLst>
                    <c:ext xmlns:c16="http://schemas.microsoft.com/office/drawing/2014/chart" uri="{C3380CC4-5D6E-409C-BE32-E72D297353CC}">
                      <c16:uniqueId val="{00000007-12B5-409F-A6F8-18D174F74782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'Utt Mode b0'!$J$11:$J$14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1.7510225592547921</c:v>
                        </c:pt>
                        <c:pt idx="1">
                          <c:v>2.4239803020917901</c:v>
                        </c:pt>
                        <c:pt idx="2">
                          <c:v>1.36404602776771</c:v>
                        </c:pt>
                        <c:pt idx="3">
                          <c:v>2.3814797511025603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'Utt Mode b0'!$J$11:$J$14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1.7510225592547921</c:v>
                        </c:pt>
                        <c:pt idx="1">
                          <c:v>2.4239803020917901</c:v>
                        </c:pt>
                        <c:pt idx="2">
                          <c:v>1.36404602776771</c:v>
                        </c:pt>
                        <c:pt idx="3">
                          <c:v>2.3814797511025603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'Utt Mode b0'!$A$3:$A$6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'Utt Mode b0'!$B$11:$B$14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-1.0847290853465901</c:v>
                      </c:pt>
                      <c:pt idx="1">
                        <c:v>-3.5085954682927101</c:v>
                      </c:pt>
                      <c:pt idx="2">
                        <c:v>2.4650478731333498</c:v>
                      </c:pt>
                      <c:pt idx="3">
                        <c:v>5.52394654787373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2B5-409F-A6F8-18D174F74782}"/>
                  </c:ext>
                </c:extLst>
              </c15:ser>
            </c15:filteredBarSeries>
          </c:ext>
        </c:extLst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At val="-15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(ST/s)</a:t>
                </a:r>
              </a:p>
            </c:rich>
          </c:tx>
          <c:layout>
            <c:manualLayout>
              <c:xMode val="edge"/>
              <c:yMode val="edge"/>
              <c:x val="4.9200905808897473E-2"/>
              <c:y val="0.19940602658871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ST/s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b1'!$K$14:$K$19</c:f>
                <c:numCache>
                  <c:formatCode>General</c:formatCode>
                  <c:ptCount val="6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</c:numCache>
              </c:numRef>
            </c:plus>
            <c:minus>
              <c:numRef>
                <c:f>'Utt Mode+ b1'!$K$14:$K$19</c:f>
                <c:numCache>
                  <c:formatCode>General</c:formatCode>
                  <c:ptCount val="6"/>
                  <c:pt idx="0">
                    <c:v>2.78728665682016</c:v>
                  </c:pt>
                  <c:pt idx="1">
                    <c:v>1.6399727828480699</c:v>
                  </c:pt>
                  <c:pt idx="2">
                    <c:v>2.1299406892086195</c:v>
                  </c:pt>
                  <c:pt idx="3">
                    <c:v>2.95832468667072</c:v>
                  </c:pt>
                  <c:pt idx="4">
                    <c:v>3.61985953199585</c:v>
                  </c:pt>
                  <c:pt idx="5">
                    <c:v>1.5412638504790388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'Utt Mode+ b1'!$C$14:$C$19</c:f>
              <c:numCache>
                <c:formatCode>0.00</c:formatCode>
                <c:ptCount val="6"/>
                <c:pt idx="0">
                  <c:v>-2.1156899611068098</c:v>
                </c:pt>
                <c:pt idx="1">
                  <c:v>2.9480659025186999</c:v>
                </c:pt>
                <c:pt idx="2">
                  <c:v>5.2142843855174696</c:v>
                </c:pt>
                <c:pt idx="3">
                  <c:v>5.06375732966145</c:v>
                </c:pt>
                <c:pt idx="4">
                  <c:v>7.3299732847251899</c:v>
                </c:pt>
                <c:pt idx="5">
                  <c:v>2.2662133061789498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E5-4D9D-AA69-5D673731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'gg Utt+'!$B$41</c15:sqref>
                        </c15:formulaRef>
                      </c:ext>
                    </c:extLst>
                    <c:strCache>
                      <c:ptCount val="1"/>
                      <c:pt idx="0">
                        <c:v>m-o</c:v>
                      </c:pt>
                    </c:strCache>
                  </c:strRef>
                </c:tx>
                <c:spPr>
                  <a:ln>
                    <a:noFill/>
                    <a:prstDash val="sysDash"/>
                  </a:ln>
                </c:spPr>
                <c:marker>
                  <c:symbol val="diamond"/>
                  <c:size val="7"/>
                  <c:spPr>
                    <a:solidFill>
                      <a:schemeClr val="bg1">
                        <a:lumMod val="95000"/>
                      </a:schemeClr>
                    </a:solidFill>
                    <a:ln w="1270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:marker>
                <c:dPt>
                  <c:idx val="0"/>
                  <c:bubble3D val="0"/>
                  <c:extLst>
                    <c:ext xmlns:c16="http://schemas.microsoft.com/office/drawing/2014/chart" uri="{C3380CC4-5D6E-409C-BE32-E72D297353CC}">
                      <c16:uniqueId val="{00000000-34E5-4D9D-AA69-5D673731B60A}"/>
                    </c:ext>
                  </c:extLst>
                </c:dPt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34E5-4D9D-AA69-5D673731B60A}"/>
                    </c:ext>
                  </c:extLst>
                </c:dPt>
                <c:dPt>
                  <c:idx val="2"/>
                  <c:bubble3D val="0"/>
                  <c:extLst>
                    <c:ext xmlns:c16="http://schemas.microsoft.com/office/drawing/2014/chart" uri="{C3380CC4-5D6E-409C-BE32-E72D297353CC}">
                      <c16:uniqueId val="{00000002-34E5-4D9D-AA69-5D673731B60A}"/>
                    </c:ext>
                  </c:extLst>
                </c:dPt>
                <c:dPt>
                  <c:idx val="3"/>
                  <c:bubble3D val="0"/>
                  <c:extLst>
                    <c:ext xmlns:c16="http://schemas.microsoft.com/office/drawing/2014/chart" uri="{C3380CC4-5D6E-409C-BE32-E72D297353CC}">
                      <c16:uniqueId val="{00000003-34E5-4D9D-AA69-5D673731B60A}"/>
                    </c:ext>
                  </c:extLst>
                </c:dPt>
                <c:dPt>
                  <c:idx val="4"/>
                  <c:bubble3D val="0"/>
                  <c:extLst>
                    <c:ext xmlns:c16="http://schemas.microsoft.com/office/drawing/2014/chart" uri="{C3380CC4-5D6E-409C-BE32-E72D297353CC}">
                      <c16:uniqueId val="{00000004-34E5-4D9D-AA69-5D673731B60A}"/>
                    </c:ext>
                  </c:extLst>
                </c:dPt>
                <c:dPt>
                  <c:idx val="5"/>
                  <c:bubble3D val="0"/>
                  <c:extLst>
                    <c:ext xmlns:c16="http://schemas.microsoft.com/office/drawing/2014/chart" uri="{C3380CC4-5D6E-409C-BE32-E72D297353CC}">
                      <c16:uniqueId val="{00000005-34E5-4D9D-AA69-5D673731B60A}"/>
                    </c:ext>
                  </c:extLst>
                </c:dPt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'Utt Mode b1'!$K$14:$K$19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2.7400366743592603</c:v>
                        </c:pt>
                        <c:pt idx="1">
                          <c:v>1.8608039360722599</c:v>
                        </c:pt>
                        <c:pt idx="2">
                          <c:v>2.5699356712750401</c:v>
                        </c:pt>
                        <c:pt idx="3">
                          <c:v>3.1745794329706403</c:v>
                        </c:pt>
                        <c:pt idx="4">
                          <c:v>3.9251665487603296</c:v>
                        </c:pt>
                        <c:pt idx="5">
                          <c:v>1.8478324605068401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'Utt Mode b1'!$K$14:$K$19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2.7400366743592603</c:v>
                        </c:pt>
                        <c:pt idx="1">
                          <c:v>1.8608039360722599</c:v>
                        </c:pt>
                        <c:pt idx="2">
                          <c:v>2.5699356712750401</c:v>
                        </c:pt>
                        <c:pt idx="3">
                          <c:v>3.1745794329706403</c:v>
                        </c:pt>
                        <c:pt idx="4">
                          <c:v>3.9251665487603296</c:v>
                        </c:pt>
                        <c:pt idx="5">
                          <c:v>1.8478324605068401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bg2">
                          <a:lumMod val="50000"/>
                        </a:schemeClr>
                      </a:solidFill>
                      <a:prstDash val="sysDot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('mode b1'!$A$2,'mode b1'!$A$7,'mode b1'!$A$12,'mode b1'!$A$17,'mode b1'!$A$22,'mode b1'!$A$27)</c15:sqref>
                        </c15:formulaRef>
                      </c:ext>
                    </c:extLst>
                    <c:strCache>
                      <c:ptCount val="6"/>
                      <c:pt idx="0">
                        <c:v>MDC MWH</c:v>
                      </c:pt>
                      <c:pt idx="1">
                        <c:v>MDC MYN</c:v>
                      </c:pt>
                      <c:pt idx="2">
                        <c:v>MDC MDQ</c:v>
                      </c:pt>
                      <c:pt idx="3">
                        <c:v>MWH MYN</c:v>
                      </c:pt>
                      <c:pt idx="4">
                        <c:v>MWH MDQ</c:v>
                      </c:pt>
                      <c:pt idx="5">
                        <c:v>MYN  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'Utt Mode b1'!$C$14:$C$19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-2.42388123109864</c:v>
                      </c:pt>
                      <c:pt idx="1">
                        <c:v>3.5497518552582199</c:v>
                      </c:pt>
                      <c:pt idx="2">
                        <c:v>6.60866325868583</c:v>
                      </c:pt>
                      <c:pt idx="3">
                        <c:v>5.9736332606028402</c:v>
                      </c:pt>
                      <c:pt idx="4">
                        <c:v>9.0325449853367594</c:v>
                      </c:pt>
                      <c:pt idx="5">
                        <c:v>3.0589118485968601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E5-4D9D-AA69-5D673731B60A}"/>
                  </c:ext>
                </c:extLst>
              </c15:ser>
            </c15:filteredLineSeries>
          </c:ext>
        </c:extLst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sz="830"/>
                </a:pPr>
                <a:r>
                  <a:rPr lang="en-US" sz="830"/>
                  <a:t>Est.</a:t>
                </a:r>
                <a:r>
                  <a:rPr lang="en-US" sz="830" baseline="0"/>
                  <a:t> diff.</a:t>
                </a:r>
                <a:r>
                  <a:rPr lang="en-US" sz="830"/>
                  <a:t>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30"/>
            </a:pPr>
            <a:endParaRPr lang="en-US"/>
          </a:p>
        </c:txPr>
        <c:crossAx val="6973903"/>
        <c:crosses val="autoZero"/>
        <c:crossBetween val="between"/>
        <c:majorUnit val="5"/>
        <c:minorUnit val="2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30"/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7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3F-47AD-A16A-18C390BD690F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E6610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3F-47AD-A16A-18C390BD690F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03F-47AD-A16A-18C390BD690F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03F-47AD-A16A-18C390BD690F}"/>
              </c:ext>
            </c:extLst>
          </c:dPt>
          <c:dLbls>
            <c:dLbl>
              <c:idx val="0"/>
              <c:layout>
                <c:manualLayout>
                  <c:x val="-0.15964376524104809"/>
                  <c:y val="3.7094157337267439E-2"/>
                </c:manualLayout>
              </c:layout>
              <c:tx>
                <c:rich>
                  <a:bodyPr/>
                  <a:lstStyle/>
                  <a:p>
                    <a:fld id="{DF6E4B77-2C31-4B95-AFE6-917A4E980BF8}" type="CELLRANGE">
                      <a:rPr lang="en-US" sz="900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03F-47AD-A16A-18C390BD690F}"/>
                </c:ext>
              </c:extLst>
            </c:dLbl>
            <c:dLbl>
              <c:idx val="1"/>
              <c:layout>
                <c:manualLayout>
                  <c:x val="-0.16879761189540984"/>
                  <c:y val="3.7119910526064066E-2"/>
                </c:manualLayout>
              </c:layout>
              <c:tx>
                <c:rich>
                  <a:bodyPr/>
                  <a:lstStyle/>
                  <a:p>
                    <a:fld id="{55C35D3A-7A11-47CA-8A04-F399EA90B44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03F-47AD-A16A-18C390BD690F}"/>
                </c:ext>
              </c:extLst>
            </c:dLbl>
            <c:dLbl>
              <c:idx val="2"/>
              <c:layout>
                <c:manualLayout>
                  <c:x val="-0.15519281891339515"/>
                  <c:y val="3.2551294833542382E-2"/>
                </c:manualLayout>
              </c:layout>
              <c:tx>
                <c:rich>
                  <a:bodyPr/>
                  <a:lstStyle/>
                  <a:p>
                    <a:fld id="{B2D4E1D1-4233-4B44-BFE9-FDD05552D13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03F-47AD-A16A-18C390BD690F}"/>
                </c:ext>
              </c:extLst>
            </c:dLbl>
            <c:dLbl>
              <c:idx val="3"/>
              <c:layout>
                <c:manualLayout>
                  <c:x val="-0.16426243991240533"/>
                  <c:y val="2.307706457796042E-2"/>
                </c:manualLayout>
              </c:layout>
              <c:tx>
                <c:rich>
                  <a:bodyPr/>
                  <a:lstStyle/>
                  <a:p>
                    <a:fld id="{EFF03701-E750-4FF0-8C89-A33DD786C1E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03F-47AD-A16A-18C390BD6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1.7510225592547921</c:v>
                  </c:pt>
                  <c:pt idx="1">
                    <c:v>2.4239803020917901</c:v>
                  </c:pt>
                  <c:pt idx="2">
                    <c:v>1.36404602776771</c:v>
                  </c:pt>
                  <c:pt idx="3">
                    <c:v>2.3814797511025603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('Utt Mode+ b0'!$B$3,'Utt Mode+ b0'!$B$4,'Utt Mode+ b0'!$B$5,'Utt Mode+ b0'!$B$6)</c:f>
              <c:numCache>
                <c:formatCode>0</c:formatCode>
                <c:ptCount val="4"/>
                <c:pt idx="0" formatCode="0.0">
                  <c:v>-0.38442111827453201</c:v>
                </c:pt>
                <c:pt idx="1">
                  <c:v>1.9090454207855701E-2</c:v>
                </c:pt>
                <c:pt idx="2" formatCode="0.0">
                  <c:v>0.20147082685336401</c:v>
                </c:pt>
                <c:pt idx="3" formatCode="0.0">
                  <c:v>1.45782068605973</c:v>
                </c:pt>
              </c:numCache>
            </c:numRef>
          </c:xVal>
          <c:yVal>
            <c:numRef>
              <c:f>('Utt Mode+ b0'!$B$11,'Utt Mode+ b0'!$B$12,'Utt Mode+ b0'!$B$13,'Utt Mode+ b0'!$B$14)</c:f>
              <c:numCache>
                <c:formatCode>0</c:formatCode>
                <c:ptCount val="4"/>
                <c:pt idx="0" formatCode="0.00">
                  <c:v>-1.8878020075566999</c:v>
                </c:pt>
                <c:pt idx="1">
                  <c:v>-4.0033950883418896</c:v>
                </c:pt>
                <c:pt idx="2" formatCode="0.00">
                  <c:v>1.0603770561059001</c:v>
                </c:pt>
                <c:pt idx="3" formatCode="0.00">
                  <c:v>3.3264548312707198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303F-47AD-A16A-18C390BD6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ajorUnit val="1"/>
        <c:minorUnit val="1"/>
      </c:valAx>
      <c:valAx>
        <c:axId val="386213872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in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1817928342369E-2"/>
          <c:y val="5.1837302344293137E-2"/>
          <c:w val="0.77972849574794367"/>
          <c:h val="0.82438903470399538"/>
        </c:manualLayout>
      </c:layout>
      <c:scatterChart>
        <c:scatterStyle val="smoothMarker"/>
        <c:varyColors val="0"/>
        <c:ser>
          <c:idx val="4"/>
          <c:order val="1"/>
          <c:tx>
            <c:v>MDC</c:v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E057-46E0-9998-8D0E860C6D50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3.3911828968388678</c:v>
                </c:pt>
                <c:pt idx="1">
                  <c:v>-4.1600251333879319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7-46E0-9998-8D0E860C6D50}"/>
            </c:ext>
          </c:extLst>
        </c:ser>
        <c:ser>
          <c:idx val="5"/>
          <c:order val="3"/>
          <c:tx>
            <c:v>MWH</c:v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8.0258806308916348</c:v>
                </c:pt>
                <c:pt idx="1">
                  <c:v>-7.9876997224759236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057-46E0-9998-8D0E860C6D50}"/>
            </c:ext>
          </c:extLst>
        </c:ser>
        <c:ser>
          <c:idx val="6"/>
          <c:order val="5"/>
          <c:tx>
            <c:v>MYN</c:v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-1.9192832853584361</c:v>
                </c:pt>
                <c:pt idx="1">
                  <c:v>2.3222249390651641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057-46E0-9998-8D0E860C6D50}"/>
            </c:ext>
          </c:extLst>
        </c:ser>
        <c:ser>
          <c:idx val="7"/>
          <c:order val="7"/>
          <c:tx>
            <c:v>MDQ</c:v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-5.1950889764817099</c:v>
                </c:pt>
                <c:pt idx="1">
                  <c:v>6.8543804893948037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057-46E0-9998-8D0E860C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(m-o)</c:v>
                      </c:pt>
                    </c:strCache>
                  </c:strRef>
                </c:tx>
                <c:spPr>
                  <a:ln w="25400" cmpd="sng">
                    <a:solidFill>
                      <a:srgbClr val="7570B3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1.6459183804206492</c:v>
                      </c:pt>
                      <c:pt idx="1">
                        <c:v>-2.6929979609657111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057-46E0-9998-8D0E860C6D50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6.9674378014790808</c:v>
                      </c:pt>
                      <c:pt idx="1">
                        <c:v>-7.0669440716917595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57-46E0-9998-8D0E860C6D50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-4.692658172906655</c:v>
                      </c:pt>
                      <c:pt idx="1">
                        <c:v>5.1675333196267443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57-46E0-9998-8D0E860C6D50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(m-o)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-9.3741069349452104</c:v>
                      </c:pt>
                      <c:pt idx="1">
                        <c:v>11.285330669107505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57-46E0-9998-8D0E860C6D50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5"/>
          <c:min val="-0.5"/>
        </c:scaling>
        <c:delete val="0"/>
        <c:axPos val="b"/>
        <c:majorGridlines/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755857071"/>
        <c:crossesAt val="0"/>
        <c:crossBetween val="midCat"/>
        <c:majorUnit val="0.5"/>
        <c:minorUnit val="0.1"/>
      </c:valAx>
      <c:valAx>
        <c:axId val="755857071"/>
        <c:scaling>
          <c:orientation val="minMax"/>
          <c:max val="4"/>
          <c:min val="-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i="1"/>
                  <a:t>f</a:t>
                </a:r>
                <a:r>
                  <a:rPr lang="en-IE" baseline="-25000"/>
                  <a:t>0</a:t>
                </a:r>
                <a:r>
                  <a:rPr lang="en-IE"/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c:spPr>
        <c:crossAx val="755857903"/>
        <c:crosses val="max"/>
        <c:crossBetween val="midCat"/>
        <c:majorUnit val="2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136504329004329"/>
          <c:y val="0.66738444152814236"/>
          <c:w val="0.26674494949494948"/>
          <c:h val="0.20183730158730159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('mode+ b0'!$B$26,'mode+ b0'!$B$37)</c:f>
              <c:numCache>
                <c:formatCode>0</c:formatCode>
                <c:ptCount val="2"/>
                <c:pt idx="0">
                  <c:v>90.285240771054006</c:v>
                </c:pt>
                <c:pt idx="1">
                  <c:v>293.60752949351303</c:v>
                </c:pt>
              </c:numCache>
            </c:numRef>
          </c:xVal>
          <c:yVal>
            <c:numRef>
              <c:f>('mode+ b0'!$B$48,'mode+ b0'!$B$59)</c:f>
              <c:numCache>
                <c:formatCode>0.0</c:formatCode>
                <c:ptCount val="2"/>
                <c:pt idx="0">
                  <c:v>-2.2252320557365701</c:v>
                </c:pt>
                <c:pt idx="1">
                  <c:v>3.8354463890968402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('mode+ b0'!$B$28,'mode+ b0'!$B$39)</c:f>
              <c:numCache>
                <c:formatCode>0</c:formatCode>
                <c:ptCount val="2"/>
                <c:pt idx="0">
                  <c:v>74.259830267189301</c:v>
                </c:pt>
                <c:pt idx="1">
                  <c:v>280.46367412455697</c:v>
                </c:pt>
              </c:numCache>
              <c:extLst xmlns:c15="http://schemas.microsoft.com/office/drawing/2012/chart"/>
            </c:numRef>
          </c:xVal>
          <c:yVal>
            <c:numRef>
              <c:f>('mode+ b0'!$B$50,'mode+ b0'!$B$61)</c:f>
              <c:numCache>
                <c:formatCode>0.0</c:formatCode>
                <c:ptCount val="2"/>
                <c:pt idx="0">
                  <c:v>-0.96658198810346596</c:v>
                </c:pt>
                <c:pt idx="1">
                  <c:v>6.0998067389630002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('mode+ b0'!$B$25,'mode+ b0'!$B$36)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  <c:extLst xmlns:c15="http://schemas.microsoft.com/office/drawing/2012/chart"/>
            </c:numRef>
          </c:xVal>
          <c:yVal>
            <c:numRef>
              <c:f>('mode+ b0'!$B$47,'mode+ b0'!$B$58)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('mode+ b0'!$B$27,'mode+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90.017312438904298</c:v>
                      </c:pt>
                      <c:pt idx="1">
                        <c:v>292.99545977999901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('mode+ b0'!$B$49,'mode+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-1.2644469455390599</c:v>
                      </c:pt>
                      <c:pt idx="1">
                        <c:v>4.3670221460573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b0'!$B$25:$B$32</c15:sqref>
                  </c15:fullRef>
                </c:ext>
              </c:extLst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'mode+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b0'!$B$36:$B$43</c15:sqref>
                  </c15:fullRef>
                </c:ext>
              </c:extLst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333600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</xdr:row>
      <xdr:rowOff>185056</xdr:rowOff>
    </xdr:from>
    <xdr:to>
      <xdr:col>9</xdr:col>
      <xdr:colOff>333600</xdr:colOff>
      <xdr:row>23</xdr:row>
      <xdr:rowOff>124370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173082</xdr:rowOff>
    </xdr:from>
    <xdr:to>
      <xdr:col>4</xdr:col>
      <xdr:colOff>333600</xdr:colOff>
      <xdr:row>37</xdr:row>
      <xdr:rowOff>60796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336321</xdr:colOff>
      <xdr:row>11</xdr:row>
      <xdr:rowOff>112320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EE82B-E899-4FBC-97AA-F732D4F09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336321</xdr:colOff>
      <xdr:row>23</xdr:row>
      <xdr:rowOff>120289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D79F1-BF59-4254-BFA3-4CE34C54E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0.21709</cdr:x>
      <cdr:y>0.83227</cdr:y>
    </cdr:from>
    <cdr:to>
      <cdr:x>0.32126</cdr:x>
      <cdr:y>0.88601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396CAB6-5AA9-6AEE-3188-A10E081E47E9}"/>
            </a:ext>
          </a:extLst>
        </cdr:cNvPr>
        <cdr:cNvSpPr/>
      </cdr:nvSpPr>
      <cdr:spPr>
        <a:xfrm xmlns:a="http://schemas.openxmlformats.org/drawingml/2006/main">
          <a:off x="601784" y="1825924"/>
          <a:ext cx="288757" cy="1178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0.3399</cdr:x>
      <cdr:y>0.83708</cdr:y>
    </cdr:from>
    <cdr:to>
      <cdr:x>0.44407</cdr:x>
      <cdr:y>0.89082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6E6554C-6B9A-1C44-20BE-5033D8F60753}"/>
            </a:ext>
          </a:extLst>
        </cdr:cNvPr>
        <cdr:cNvSpPr/>
      </cdr:nvSpPr>
      <cdr:spPr>
        <a:xfrm xmlns:a="http://schemas.openxmlformats.org/drawingml/2006/main">
          <a:off x="942196" y="1836467"/>
          <a:ext cx="288757" cy="1178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0.01833</cdr:x>
      <cdr:y>0.02316</cdr:y>
    </cdr:from>
    <cdr:to>
      <cdr:x>0.1225</cdr:x>
      <cdr:y>0.07689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6E6554C-6B9A-1C44-20BE-5033D8F60753}"/>
            </a:ext>
          </a:extLst>
        </cdr:cNvPr>
        <cdr:cNvSpPr/>
      </cdr:nvSpPr>
      <cdr:spPr>
        <a:xfrm xmlns:a="http://schemas.openxmlformats.org/drawingml/2006/main">
          <a:off x="50800" y="50800"/>
          <a:ext cx="288757" cy="1178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0.46126</cdr:x>
      <cdr:y>0.83708</cdr:y>
    </cdr:from>
    <cdr:to>
      <cdr:x>0.56543</cdr:x>
      <cdr:y>0.89082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86E6554C-6B9A-1C44-20BE-5033D8F60753}"/>
            </a:ext>
          </a:extLst>
        </cdr:cNvPr>
        <cdr:cNvSpPr/>
      </cdr:nvSpPr>
      <cdr:spPr>
        <a:xfrm xmlns:a="http://schemas.openxmlformats.org/drawingml/2006/main">
          <a:off x="1278626" y="1836468"/>
          <a:ext cx="288757" cy="1178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0.58782</cdr:x>
      <cdr:y>0.8349</cdr:y>
    </cdr:from>
    <cdr:to>
      <cdr:x>0.69199</cdr:x>
      <cdr:y>0.88077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6E6554C-6B9A-1C44-20BE-5033D8F60753}"/>
            </a:ext>
          </a:extLst>
        </cdr:cNvPr>
        <cdr:cNvSpPr/>
      </cdr:nvSpPr>
      <cdr:spPr>
        <a:xfrm xmlns:a="http://schemas.openxmlformats.org/drawingml/2006/main">
          <a:off x="1629435" y="1831675"/>
          <a:ext cx="288757" cy="1006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0.71437</cdr:x>
      <cdr:y>0.83708</cdr:y>
    </cdr:from>
    <cdr:to>
      <cdr:x>0.81854</cdr:x>
      <cdr:y>0.88295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54709219-DA72-27F8-C370-C59ADC833FD8}"/>
            </a:ext>
          </a:extLst>
        </cdr:cNvPr>
        <cdr:cNvSpPr/>
      </cdr:nvSpPr>
      <cdr:spPr>
        <a:xfrm xmlns:a="http://schemas.openxmlformats.org/drawingml/2006/main">
          <a:off x="1980242" y="1836469"/>
          <a:ext cx="288757" cy="1006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0.83885</cdr:x>
      <cdr:y>0.83184</cdr:y>
    </cdr:from>
    <cdr:to>
      <cdr:x>0.94302</cdr:x>
      <cdr:y>0.87771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754A40CE-465A-70EA-F006-2B1E2E12905E}"/>
            </a:ext>
          </a:extLst>
        </cdr:cNvPr>
        <cdr:cNvSpPr/>
      </cdr:nvSpPr>
      <cdr:spPr>
        <a:xfrm xmlns:a="http://schemas.openxmlformats.org/drawingml/2006/main">
          <a:off x="2325298" y="1824966"/>
          <a:ext cx="288757" cy="1006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0.12864</cdr:x>
      <cdr:y>0.81295</cdr:y>
    </cdr:from>
    <cdr:to>
      <cdr:x>0.22487</cdr:x>
      <cdr:y>0.87497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226D32-E15B-10F0-5D69-C39FE2D49855}"/>
            </a:ext>
          </a:extLst>
        </cdr:cNvPr>
        <cdr:cNvSpPr/>
      </cdr:nvSpPr>
      <cdr:spPr>
        <a:xfrm xmlns:a="http://schemas.openxmlformats.org/drawingml/2006/main">
          <a:off x="355600" y="1787358"/>
          <a:ext cx="266030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0.25776</cdr:x>
      <cdr:y>0.81295</cdr:y>
    </cdr:from>
    <cdr:to>
      <cdr:x>0.40622</cdr:x>
      <cdr:y>0.87497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134C316-4B2B-F51B-B842-63321DE20329}"/>
            </a:ext>
          </a:extLst>
        </cdr:cNvPr>
        <cdr:cNvSpPr/>
      </cdr:nvSpPr>
      <cdr:spPr>
        <a:xfrm xmlns:a="http://schemas.openxmlformats.org/drawingml/2006/main">
          <a:off x="712535" y="1787358"/>
          <a:ext cx="410411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0.42169</cdr:x>
      <cdr:y>0.8166</cdr:y>
    </cdr:from>
    <cdr:to>
      <cdr:x>0.57016</cdr:x>
      <cdr:y>0.87862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79950A5-09DC-F2BE-B38D-3C6AB29B2BA8}"/>
            </a:ext>
          </a:extLst>
        </cdr:cNvPr>
        <cdr:cNvSpPr/>
      </cdr:nvSpPr>
      <cdr:spPr>
        <a:xfrm xmlns:a="http://schemas.openxmlformats.org/drawingml/2006/main">
          <a:off x="1165725" y="1795379"/>
          <a:ext cx="410411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0.59579</cdr:x>
      <cdr:y>0.8166</cdr:y>
    </cdr:from>
    <cdr:to>
      <cdr:x>0.74425</cdr:x>
      <cdr:y>0.87862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43EC67EC-403A-1267-649E-DE67EBC96838}"/>
            </a:ext>
          </a:extLst>
        </cdr:cNvPr>
        <cdr:cNvSpPr/>
      </cdr:nvSpPr>
      <cdr:spPr>
        <a:xfrm xmlns:a="http://schemas.openxmlformats.org/drawingml/2006/main">
          <a:off x="1646989" y="1795379"/>
          <a:ext cx="410411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0.78004</cdr:x>
      <cdr:y>0.80748</cdr:y>
    </cdr:from>
    <cdr:to>
      <cdr:x>0.9285</cdr:x>
      <cdr:y>0.8695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6F5CFEF2-57F0-D280-0CF9-3E4D1FBE7520}"/>
            </a:ext>
          </a:extLst>
        </cdr:cNvPr>
        <cdr:cNvSpPr/>
      </cdr:nvSpPr>
      <cdr:spPr>
        <a:xfrm xmlns:a="http://schemas.openxmlformats.org/drawingml/2006/main">
          <a:off x="2156327" y="1775327"/>
          <a:ext cx="410411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0.20887</cdr:x>
      <cdr:y>0.83446</cdr:y>
    </cdr:from>
    <cdr:to>
      <cdr:x>0.31237</cdr:x>
      <cdr:y>0.88033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450340A-753F-F63A-6981-F184F2EA8348}"/>
            </a:ext>
          </a:extLst>
        </cdr:cNvPr>
        <cdr:cNvSpPr/>
      </cdr:nvSpPr>
      <cdr:spPr>
        <a:xfrm xmlns:a="http://schemas.openxmlformats.org/drawingml/2006/main">
          <a:off x="582761" y="1830717"/>
          <a:ext cx="288757" cy="1006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0.33293</cdr:x>
      <cdr:y>0.82766</cdr:y>
    </cdr:from>
    <cdr:to>
      <cdr:x>0.43642</cdr:x>
      <cdr:y>0.88427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D90E8CD-E3B8-7570-2172-1B531F86B896}"/>
            </a:ext>
          </a:extLst>
        </cdr:cNvPr>
        <cdr:cNvSpPr/>
      </cdr:nvSpPr>
      <cdr:spPr>
        <a:xfrm xmlns:a="http://schemas.openxmlformats.org/drawingml/2006/main">
          <a:off x="931413" y="1779677"/>
          <a:ext cx="289550" cy="121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0.46397</cdr:x>
      <cdr:y>0.831</cdr:y>
    </cdr:from>
    <cdr:to>
      <cdr:x>0.56747</cdr:x>
      <cdr:y>0.88761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4A3786D-BD40-96E5-3357-E5DE8AA84E7E}"/>
            </a:ext>
          </a:extLst>
        </cdr:cNvPr>
        <cdr:cNvSpPr/>
      </cdr:nvSpPr>
      <cdr:spPr>
        <a:xfrm xmlns:a="http://schemas.openxmlformats.org/drawingml/2006/main">
          <a:off x="1298036" y="1786866"/>
          <a:ext cx="289550" cy="121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0.58474</cdr:x>
      <cdr:y>0.82933</cdr:y>
    </cdr:from>
    <cdr:to>
      <cdr:x>0.68824</cdr:x>
      <cdr:y>0.88594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9611EF84-B123-3401-0AD6-6E9643045AAD}"/>
            </a:ext>
          </a:extLst>
        </cdr:cNvPr>
        <cdr:cNvSpPr/>
      </cdr:nvSpPr>
      <cdr:spPr>
        <a:xfrm xmlns:a="http://schemas.openxmlformats.org/drawingml/2006/main">
          <a:off x="1635904" y="1783271"/>
          <a:ext cx="289550" cy="121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0.71579</cdr:x>
      <cdr:y>0.82933</cdr:y>
    </cdr:from>
    <cdr:to>
      <cdr:x>0.81928</cdr:x>
      <cdr:y>0.88594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9AA75E6-BF79-4E40-FAB1-BD074DAC5988}"/>
            </a:ext>
          </a:extLst>
        </cdr:cNvPr>
        <cdr:cNvSpPr/>
      </cdr:nvSpPr>
      <cdr:spPr>
        <a:xfrm xmlns:a="http://schemas.openxmlformats.org/drawingml/2006/main">
          <a:off x="2002526" y="1783272"/>
          <a:ext cx="289550" cy="121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0.83912</cdr:x>
      <cdr:y>0.82766</cdr:y>
    </cdr:from>
    <cdr:to>
      <cdr:x>0.94262</cdr:x>
      <cdr:y>0.88427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637C013F-1FEB-5BA4-23D1-3FDD096A812D}"/>
            </a:ext>
          </a:extLst>
        </cdr:cNvPr>
        <cdr:cNvSpPr/>
      </cdr:nvSpPr>
      <cdr:spPr>
        <a:xfrm xmlns:a="http://schemas.openxmlformats.org/drawingml/2006/main">
          <a:off x="2347583" y="1779678"/>
          <a:ext cx="289550" cy="121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329791</xdr:colOff>
      <xdr:row>11</xdr:row>
      <xdr:rowOff>169275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31846-6663-473B-8631-A3079D487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589865</xdr:colOff>
      <xdr:row>0</xdr:row>
      <xdr:rowOff>0</xdr:rowOff>
    </xdr:from>
    <xdr:to>
      <xdr:col>9</xdr:col>
      <xdr:colOff>313865</xdr:colOff>
      <xdr:row>11</xdr:row>
      <xdr:rowOff>169565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90B24-8772-4051-8011-0C4816777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8021</xdr:colOff>
      <xdr:row>12</xdr:row>
      <xdr:rowOff>16042</xdr:rowOff>
    </xdr:from>
    <xdr:to>
      <xdr:col>4</xdr:col>
      <xdr:colOff>334001</xdr:colOff>
      <xdr:row>24</xdr:row>
      <xdr:rowOff>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DBED5-910C-4C1B-8362-7C9455B92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9</xdr:col>
      <xdr:colOff>379125</xdr:colOff>
      <xdr:row>23</xdr:row>
      <xdr:rowOff>173375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86225-E77C-4DA9-8C91-C4236075D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333600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474030-0DC5-450E-8C54-BEA388EB4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14</xdr:col>
      <xdr:colOff>331694</xdr:colOff>
      <xdr:row>30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214355-6590-45BB-AEC5-AB77EB12B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0.09659</cdr:x>
      <cdr:y>0.81478</cdr:y>
    </cdr:from>
    <cdr:to>
      <cdr:x>0.19269</cdr:x>
      <cdr:y>0.8768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65E1877-EAED-B67F-DFFF-997E4CAA30E9}"/>
            </a:ext>
          </a:extLst>
        </cdr:cNvPr>
        <cdr:cNvSpPr/>
      </cdr:nvSpPr>
      <cdr:spPr>
        <a:xfrm xmlns:a="http://schemas.openxmlformats.org/drawingml/2006/main">
          <a:off x="267370" y="1791369"/>
          <a:ext cx="266030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0.01833</cdr:x>
      <cdr:y>0.02316</cdr:y>
    </cdr:from>
    <cdr:to>
      <cdr:x>0.1225</cdr:x>
      <cdr:y>0.07689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6E6554C-6B9A-1C44-20BE-5033D8F60753}"/>
            </a:ext>
          </a:extLst>
        </cdr:cNvPr>
        <cdr:cNvSpPr/>
      </cdr:nvSpPr>
      <cdr:spPr>
        <a:xfrm xmlns:a="http://schemas.openxmlformats.org/drawingml/2006/main">
          <a:off x="50800" y="50800"/>
          <a:ext cx="288757" cy="1178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8</xdr:col>
      <xdr:colOff>190165</xdr:colOff>
      <xdr:row>11</xdr:row>
      <xdr:rowOff>178800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12</xdr:row>
      <xdr:rowOff>9524</xdr:rowOff>
    </xdr:from>
    <xdr:to>
      <xdr:col>8</xdr:col>
      <xdr:colOff>190165</xdr:colOff>
      <xdr:row>24</xdr:row>
      <xdr:rowOff>17994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333600</xdr:colOff>
      <xdr:row>37</xdr:row>
      <xdr:rowOff>26683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13</xdr:col>
      <xdr:colOff>336961</xdr:colOff>
      <xdr:row>11</xdr:row>
      <xdr:rowOff>178800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FB3B7-C86F-456A-807A-09FCE5B6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336961</xdr:colOff>
      <xdr:row>24</xdr:row>
      <xdr:rowOff>10151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7971-0B31-4275-8590-3413782ED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297180</xdr:colOff>
      <xdr:row>11</xdr:row>
      <xdr:rowOff>117380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AA36B2-14F0-4DAA-9182-9C053DBAA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297180</xdr:colOff>
      <xdr:row>11</xdr:row>
      <xdr:rowOff>117380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58483F8-C914-46E6-9D89-12798329D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333600</xdr:colOff>
      <xdr:row>23</xdr:row>
      <xdr:rowOff>112320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639D6A74-94E0-4957-8544-874E89AA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9</xdr:col>
      <xdr:colOff>333600</xdr:colOff>
      <xdr:row>23</xdr:row>
      <xdr:rowOff>112321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F132A659-BE19-4765-B1DB-D0602468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333600</xdr:colOff>
      <xdr:row>35</xdr:row>
      <xdr:rowOff>112320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66B09D46-D680-4D36-BF90-77CB42B90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9</xdr:col>
      <xdr:colOff>333600</xdr:colOff>
      <xdr:row>35</xdr:row>
      <xdr:rowOff>112321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2C5BFCC1-5427-4D3E-B4FD-5CEF80AE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2</xdr:col>
      <xdr:colOff>364800</xdr:colOff>
      <xdr:row>50</xdr:row>
      <xdr:rowOff>169047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D63AD34B-41E5-4E81-B6F2-E2AFF0BAE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5</xdr:col>
      <xdr:colOff>401889</xdr:colOff>
      <xdr:row>50</xdr:row>
      <xdr:rowOff>169565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761DA8A0-9E05-44DC-9DFE-09E8CBC83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</xdr:col>
      <xdr:colOff>220800</xdr:colOff>
      <xdr:row>62</xdr:row>
      <xdr:rowOff>169565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2897D558-90B0-465D-83EB-BC5B23B7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5</xdr:col>
      <xdr:colOff>221889</xdr:colOff>
      <xdr:row>62</xdr:row>
      <xdr:rowOff>169565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1BB5859D-6C75-452D-AB4F-3620627F8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253014</xdr:colOff>
      <xdr:row>14</xdr:row>
      <xdr:rowOff>134804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A80D0D5D-3E97-40CC-ABEE-DB93EB3DF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2898</xdr:colOff>
      <xdr:row>15</xdr:row>
      <xdr:rowOff>26504</xdr:rowOff>
    </xdr:from>
    <xdr:to>
      <xdr:col>14</xdr:col>
      <xdr:colOff>336498</xdr:colOff>
      <xdr:row>28</xdr:row>
      <xdr:rowOff>169064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2C2F9D76-5B8C-40F6-B39A-BB587AAD0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0</xdr:rowOff>
    </xdr:from>
    <xdr:to>
      <xdr:col>9</xdr:col>
      <xdr:colOff>101974</xdr:colOff>
      <xdr:row>111</xdr:row>
      <xdr:rowOff>35858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622FC-0DF6-4EC9-8FCC-07904476C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89645</xdr:colOff>
      <xdr:row>85</xdr:row>
      <xdr:rowOff>0</xdr:rowOff>
    </xdr:from>
    <xdr:to>
      <xdr:col>19</xdr:col>
      <xdr:colOff>286869</xdr:colOff>
      <xdr:row>111</xdr:row>
      <xdr:rowOff>10128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CF900-D276-4F5A-A100-1622636B8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86</xdr:row>
      <xdr:rowOff>0</xdr:rowOff>
    </xdr:from>
    <xdr:to>
      <xdr:col>29</xdr:col>
      <xdr:colOff>534681</xdr:colOff>
      <xdr:row>113</xdr:row>
      <xdr:rowOff>53250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69F26C-25DD-49A9-AD53-5633C37F7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86</xdr:row>
      <xdr:rowOff>0</xdr:rowOff>
    </xdr:from>
    <xdr:to>
      <xdr:col>39</xdr:col>
      <xdr:colOff>203286</xdr:colOff>
      <xdr:row>113</xdr:row>
      <xdr:rowOff>24847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5C5DB-0D70-4430-932F-54B898FD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63038</xdr:colOff>
      <xdr:row>76</xdr:row>
      <xdr:rowOff>3600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9E165E-99E9-4955-A52C-EF084E2EB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15</xdr:col>
      <xdr:colOff>72518</xdr:colOff>
      <xdr:row>76</xdr:row>
      <xdr:rowOff>76590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209E83-B099-482A-A821-066E395BB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217971</xdr:colOff>
      <xdr:row>53</xdr:row>
      <xdr:rowOff>114257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53FA83-FFF7-49EC-9646-24716A620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217971</xdr:colOff>
      <xdr:row>68</xdr:row>
      <xdr:rowOff>114257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191790-B4CF-4DED-A05F-1128E17B6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241407</xdr:colOff>
      <xdr:row>40</xdr:row>
      <xdr:rowOff>0</xdr:rowOff>
    </xdr:from>
    <xdr:to>
      <xdr:col>16</xdr:col>
      <xdr:colOff>361407</xdr:colOff>
      <xdr:row>53</xdr:row>
      <xdr:rowOff>114257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8BF37B-A33D-4AEA-BE4D-460D9ED2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241407</xdr:colOff>
      <xdr:row>55</xdr:row>
      <xdr:rowOff>0</xdr:rowOff>
    </xdr:from>
    <xdr:to>
      <xdr:col>16</xdr:col>
      <xdr:colOff>361407</xdr:colOff>
      <xdr:row>68</xdr:row>
      <xdr:rowOff>114257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312711-727F-46E8-AC47-F7B56F955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492579</xdr:colOff>
      <xdr:row>12</xdr:row>
      <xdr:rowOff>95619</xdr:rowOff>
    </xdr:from>
    <xdr:to>
      <xdr:col>10</xdr:col>
      <xdr:colOff>216579</xdr:colOff>
      <xdr:row>24</xdr:row>
      <xdr:rowOff>34934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96C368-894C-475A-8B3F-B2ED717EA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4</xdr:col>
      <xdr:colOff>368979</xdr:colOff>
      <xdr:row>11</xdr:row>
      <xdr:rowOff>113486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28D910-B3BD-4697-9E03-3ADD19C2E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</xdr:row>
      <xdr:rowOff>124194</xdr:rowOff>
    </xdr:from>
    <xdr:to>
      <xdr:col>4</xdr:col>
      <xdr:colOff>235629</xdr:colOff>
      <xdr:row>24</xdr:row>
      <xdr:rowOff>63509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9E3F0EA-FE44-4CC5-9540-E1AFF1768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511629</xdr:colOff>
      <xdr:row>0</xdr:row>
      <xdr:rowOff>0</xdr:rowOff>
    </xdr:from>
    <xdr:to>
      <xdr:col>10</xdr:col>
      <xdr:colOff>235629</xdr:colOff>
      <xdr:row>11</xdr:row>
      <xdr:rowOff>113486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C47107F-FFDD-4BBC-86E5-BA3038696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15</xdr:col>
      <xdr:colOff>297600</xdr:colOff>
      <xdr:row>11</xdr:row>
      <xdr:rowOff>113486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D66CC3D-0842-497A-8A7D-9C338F72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20</xdr:col>
      <xdr:colOff>360507</xdr:colOff>
      <xdr:row>11</xdr:row>
      <xdr:rowOff>113486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400F56D-5B5B-4C45-BFBD-8AEC31ACC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15</xdr:col>
      <xdr:colOff>297180</xdr:colOff>
      <xdr:row>24</xdr:row>
      <xdr:rowOff>124007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A963065-E7F9-49DE-83C0-418B58B70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20</xdr:col>
      <xdr:colOff>360045</xdr:colOff>
      <xdr:row>24</xdr:row>
      <xdr:rowOff>124007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235021E-3D21-4A4B-BF1E-C5338F974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692725</xdr:colOff>
      <xdr:row>40</xdr:row>
      <xdr:rowOff>76200</xdr:rowOff>
    </xdr:from>
    <xdr:to>
      <xdr:col>11</xdr:col>
      <xdr:colOff>0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9BB76-89F1-4A65-94D0-72B3416F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27698</xdr:colOff>
      <xdr:row>62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8FEE60-1A86-4DD8-9317-946C9915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183930</xdr:rowOff>
    </xdr:from>
    <xdr:to>
      <xdr:col>13</xdr:col>
      <xdr:colOff>176814</xdr:colOff>
      <xdr:row>48</xdr:row>
      <xdr:rowOff>135930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4E368-488E-4B6E-86BA-28DED71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14</xdr:col>
      <xdr:colOff>68400</xdr:colOff>
      <xdr:row>59</xdr:row>
      <xdr:rowOff>178500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7F2CB-6FF1-4208-86DD-27F9B241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4482</xdr:colOff>
      <xdr:row>41</xdr:row>
      <xdr:rowOff>0</xdr:rowOff>
    </xdr:from>
    <xdr:to>
      <xdr:col>17</xdr:col>
      <xdr:colOff>520834</xdr:colOff>
      <xdr:row>48</xdr:row>
      <xdr:rowOff>142500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0BE44-B6AA-49DB-942D-5BD4D3E9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21</xdr:col>
      <xdr:colOff>180176</xdr:colOff>
      <xdr:row>48</xdr:row>
      <xdr:rowOff>142500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06B15E-6C3E-4353-9196-61DECB71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180176</xdr:colOff>
      <xdr:row>48</xdr:row>
      <xdr:rowOff>142500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ACC3F2-A584-4B0F-9EEC-C14A00FA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585270</xdr:colOff>
      <xdr:row>1</xdr:row>
      <xdr:rowOff>0</xdr:rowOff>
    </xdr:from>
    <xdr:to>
      <xdr:col>17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585270</xdr:colOff>
      <xdr:row>12</xdr:row>
      <xdr:rowOff>0</xdr:rowOff>
    </xdr:from>
    <xdr:to>
      <xdr:col>17</xdr:col>
      <xdr:colOff>529644</xdr:colOff>
      <xdr:row>17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182977</xdr:colOff>
      <xdr:row>6</xdr:row>
      <xdr:rowOff>207892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D58C7-FDA2-4791-9C36-1A93F3399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179167</xdr:colOff>
      <xdr:row>17</xdr:row>
      <xdr:rowOff>207892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DDCF7-8CFF-4CEB-9C71-03CF261B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445319</xdr:colOff>
      <xdr:row>17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181072</xdr:colOff>
      <xdr:row>6</xdr:row>
      <xdr:rowOff>211702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59696-1363-4102-B64F-F88A790A0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</xdr:row>
      <xdr:rowOff>402167</xdr:rowOff>
    </xdr:from>
    <xdr:to>
      <xdr:col>22</xdr:col>
      <xdr:colOff>177262</xdr:colOff>
      <xdr:row>17</xdr:row>
      <xdr:rowOff>190535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62330-B577-4454-9AB1-776D3FB21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179166</xdr:colOff>
      <xdr:row>6</xdr:row>
      <xdr:rowOff>207892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0954C-85F5-4AA1-A98A-D311C0B10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398357</xdr:rowOff>
    </xdr:from>
    <xdr:to>
      <xdr:col>27</xdr:col>
      <xdr:colOff>173451</xdr:colOff>
      <xdr:row>17</xdr:row>
      <xdr:rowOff>190535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D7F568-81C4-4123-B747-6AF3DE20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329791</xdr:colOff>
      <xdr:row>11</xdr:row>
      <xdr:rowOff>169275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589865</xdr:colOff>
      <xdr:row>0</xdr:row>
      <xdr:rowOff>0</xdr:rowOff>
    </xdr:from>
    <xdr:to>
      <xdr:col>9</xdr:col>
      <xdr:colOff>313865</xdr:colOff>
      <xdr:row>11</xdr:row>
      <xdr:rowOff>169565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8021</xdr:colOff>
      <xdr:row>12</xdr:row>
      <xdr:rowOff>16042</xdr:rowOff>
    </xdr:from>
    <xdr:to>
      <xdr:col>4</xdr:col>
      <xdr:colOff>334001</xdr:colOff>
      <xdr:row>24</xdr:row>
      <xdr:rowOff>832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5B7C05-18F8-4F4E-8F17-D166B498E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9</xdr:col>
      <xdr:colOff>379125</xdr:colOff>
      <xdr:row>23</xdr:row>
      <xdr:rowOff>173375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E68C73F-4394-4EB5-B2DD-90199E91D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333600</xdr:colOff>
      <xdr:row>15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F71CED7-4279-42F5-9E1E-5A93E0AB4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2</xdr:col>
      <xdr:colOff>166800</xdr:colOff>
      <xdr:row>32</xdr:row>
      <xdr:rowOff>123840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84413E3-B9AA-452F-9758-3D68E0E6A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5</xdr:col>
      <xdr:colOff>166800</xdr:colOff>
      <xdr:row>32</xdr:row>
      <xdr:rowOff>123840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5A6A335-BC09-46BC-822D-7930CD36A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205415</xdr:colOff>
      <xdr:row>25</xdr:row>
      <xdr:rowOff>0</xdr:rowOff>
    </xdr:from>
    <xdr:to>
      <xdr:col>7</xdr:col>
      <xdr:colOff>372215</xdr:colOff>
      <xdr:row>32</xdr:row>
      <xdr:rowOff>123840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3A348CE-EB6B-4308-8C76-4DA41A72D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410829</xdr:colOff>
      <xdr:row>25</xdr:row>
      <xdr:rowOff>0</xdr:rowOff>
    </xdr:from>
    <xdr:to>
      <xdr:col>9</xdr:col>
      <xdr:colOff>577629</xdr:colOff>
      <xdr:row>32</xdr:row>
      <xdr:rowOff>123840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5AB397A-2B24-4D46-A73E-C8A7103A3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6643</xdr:colOff>
      <xdr:row>25</xdr:row>
      <xdr:rowOff>0</xdr:rowOff>
    </xdr:from>
    <xdr:to>
      <xdr:col>12</xdr:col>
      <xdr:colOff>173443</xdr:colOff>
      <xdr:row>32</xdr:row>
      <xdr:rowOff>123840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1051F99-DE2B-4985-AEDB-48EA76DDB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19</xdr:col>
      <xdr:colOff>430800</xdr:colOff>
      <xdr:row>18</xdr:row>
      <xdr:rowOff>62753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FAC7E8A-AB4B-43CA-973E-90AA0DBF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24</xdr:col>
      <xdr:colOff>333600</xdr:colOff>
      <xdr:row>15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68B2187-1949-406D-AD5F-05D7E585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20</xdr:col>
      <xdr:colOff>333600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22804-4D4E-4819-B838-5DC0E280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0.80263</cdr:x>
      <cdr:y>0.81538</cdr:y>
    </cdr:from>
    <cdr:to>
      <cdr:x>0.90694</cdr:x>
      <cdr:y>0.8774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CBC205E-9C07-14CD-D05B-5376F85045D3}"/>
            </a:ext>
          </a:extLst>
        </cdr:cNvPr>
        <cdr:cNvSpPr/>
      </cdr:nvSpPr>
      <cdr:spPr>
        <a:xfrm xmlns:a="http://schemas.openxmlformats.org/drawingml/2006/main">
          <a:off x="2221831" y="1792705"/>
          <a:ext cx="288757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0.61815</cdr:x>
      <cdr:y>0.81842</cdr:y>
    </cdr:from>
    <cdr:to>
      <cdr:x>0.72246</cdr:x>
      <cdr:y>0.88044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4C3F405-2E51-206A-029A-4AC0ECBCB310}"/>
            </a:ext>
          </a:extLst>
        </cdr:cNvPr>
        <cdr:cNvSpPr/>
      </cdr:nvSpPr>
      <cdr:spPr>
        <a:xfrm xmlns:a="http://schemas.openxmlformats.org/drawingml/2006/main">
          <a:off x="1711157" y="1799389"/>
          <a:ext cx="288757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0.42836</cdr:x>
      <cdr:y>0.81113</cdr:y>
    </cdr:from>
    <cdr:to>
      <cdr:x>0.53267</cdr:x>
      <cdr:y>0.87315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C14DC2F-EB3B-4561-BCDA-E54F1C59C16F}"/>
            </a:ext>
          </a:extLst>
        </cdr:cNvPr>
        <cdr:cNvSpPr/>
      </cdr:nvSpPr>
      <cdr:spPr>
        <a:xfrm xmlns:a="http://schemas.openxmlformats.org/drawingml/2006/main">
          <a:off x="1185779" y="1783348"/>
          <a:ext cx="288757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0.24436</cdr:x>
      <cdr:y>0.81295</cdr:y>
    </cdr:from>
    <cdr:to>
      <cdr:x>0.34868</cdr:x>
      <cdr:y>0.87497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1FDA4716-937D-31AB-B0E3-A126A2CE6360}"/>
            </a:ext>
          </a:extLst>
        </cdr:cNvPr>
        <cdr:cNvSpPr/>
      </cdr:nvSpPr>
      <cdr:spPr>
        <a:xfrm xmlns:a="http://schemas.openxmlformats.org/drawingml/2006/main">
          <a:off x="676442" y="1787358"/>
          <a:ext cx="288757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0.09659</cdr:x>
      <cdr:y>0.81478</cdr:y>
    </cdr:from>
    <cdr:to>
      <cdr:x>0.19269</cdr:x>
      <cdr:y>0.8768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65E1877-EAED-B67F-DFFF-997E4CAA30E9}"/>
            </a:ext>
          </a:extLst>
        </cdr:cNvPr>
        <cdr:cNvSpPr/>
      </cdr:nvSpPr>
      <cdr:spPr>
        <a:xfrm xmlns:a="http://schemas.openxmlformats.org/drawingml/2006/main">
          <a:off x="267370" y="1791369"/>
          <a:ext cx="266030" cy="1363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only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phon_b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phon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phon_b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phon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phon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phon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phon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mode_only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mode_only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full_phon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only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full_phon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mode_only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mode_only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full_phon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full_phon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only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only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only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only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only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only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phon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only_b0"/>
    </sheetNames>
    <sheetDataSet>
      <sheetData sheetId="0">
        <row r="2">
          <cell r="B2">
            <v>90.441608895113404</v>
          </cell>
          <cell r="C2">
            <v>73.648794542029705</v>
          </cell>
          <cell r="D2">
            <v>107.234423248197</v>
          </cell>
          <cell r="E2">
            <v>7.5326424159679704</v>
          </cell>
          <cell r="F2">
            <v>12.006624488558201</v>
          </cell>
          <cell r="G2">
            <v>9.9604354970525293</v>
          </cell>
          <cell r="H2">
            <v>3.0170574546993498E-7</v>
          </cell>
        </row>
        <row r="3">
          <cell r="B3">
            <v>90.853284894580298</v>
          </cell>
          <cell r="C3">
            <v>74.054277437608306</v>
          </cell>
          <cell r="D3">
            <v>107.65229235155201</v>
          </cell>
          <cell r="E3">
            <v>7.5380973516491299</v>
          </cell>
          <cell r="F3">
            <v>12.052548628163301</v>
          </cell>
          <cell r="G3">
            <v>9.9864924694440997</v>
          </cell>
          <cell r="H3">
            <v>2.8399063074685902E-7</v>
          </cell>
        </row>
        <row r="4">
          <cell r="B4">
            <v>88.162519064654504</v>
          </cell>
          <cell r="C4">
            <v>71.400172117514998</v>
          </cell>
          <cell r="D4">
            <v>104.924866011793</v>
          </cell>
          <cell r="E4">
            <v>7.5083778569353798</v>
          </cell>
          <cell r="F4">
            <v>11.7418862961485</v>
          </cell>
          <cell r="G4">
            <v>9.8583590257464806</v>
          </cell>
          <cell r="H4">
            <v>4.08686452866975E-7</v>
          </cell>
        </row>
        <row r="5">
          <cell r="B5">
            <v>69.459073012174798</v>
          </cell>
          <cell r="C5">
            <v>52.7726084668003</v>
          </cell>
          <cell r="D5">
            <v>86.145537557549204</v>
          </cell>
          <cell r="E5">
            <v>7.4469897238990397</v>
          </cell>
          <cell r="F5">
            <v>9.3271342632937007</v>
          </cell>
          <cell r="G5">
            <v>9.6026624901658799</v>
          </cell>
          <cell r="H5">
            <v>4.0219505142641401E-6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phon_b0"/>
    </sheetNames>
    <sheetDataSet>
      <sheetData sheetId="0">
        <row r="2">
          <cell r="B2">
            <v>3.4168136826367101</v>
          </cell>
          <cell r="C2">
            <v>-5.4105593324600798E-2</v>
          </cell>
          <cell r="D2">
            <v>6.8877329585980203</v>
          </cell>
          <cell r="E2">
            <v>1.12147132940085</v>
          </cell>
          <cell r="F2">
            <v>3.0467240606696002</v>
          </cell>
          <cell r="G2">
            <v>3.1565954176178401</v>
          </cell>
          <cell r="H2">
            <v>5.2009788771190703E-2</v>
          </cell>
        </row>
        <row r="3">
          <cell r="B3">
            <v>3.8354463890968402</v>
          </cell>
          <cell r="C3">
            <v>0.36592782982037297</v>
          </cell>
          <cell r="D3">
            <v>7.3049649483733097</v>
          </cell>
          <cell r="E3">
            <v>1.1218841719489401</v>
          </cell>
          <cell r="F3">
            <v>3.4187543464793602</v>
          </cell>
          <cell r="G3">
            <v>3.1611968347034098</v>
          </cell>
          <cell r="H3">
            <v>3.8658114561195098E-2</v>
          </cell>
        </row>
        <row r="4">
          <cell r="B4">
            <v>4.3670221460573</v>
          </cell>
          <cell r="C4">
            <v>0.89405967034982803</v>
          </cell>
          <cell r="D4">
            <v>7.8399846217647804</v>
          </cell>
          <cell r="E4">
            <v>1.1208134327885799</v>
          </cell>
          <cell r="F4">
            <v>3.8962971162757598</v>
          </cell>
          <cell r="G4">
            <v>3.1496165504990699</v>
          </cell>
          <cell r="H4">
            <v>2.7463807297552899E-2</v>
          </cell>
        </row>
        <row r="5">
          <cell r="B5">
            <v>6.0998067389630002</v>
          </cell>
          <cell r="C5">
            <v>2.6362530579958499</v>
          </cell>
          <cell r="D5">
            <v>9.5633604199301594</v>
          </cell>
          <cell r="E5">
            <v>1.1233409397399401</v>
          </cell>
          <cell r="F5">
            <v>5.4300582513934703</v>
          </cell>
          <cell r="G5">
            <v>3.1793416110363499</v>
          </cell>
          <cell r="H5">
            <v>1.0526503101944499E-2</v>
          </cell>
        </row>
        <row r="6">
          <cell r="B6">
            <v>3.4168136826367101</v>
          </cell>
          <cell r="C6">
            <v>-5.4105593324600798E-2</v>
          </cell>
          <cell r="D6">
            <v>6.8877329585980203</v>
          </cell>
          <cell r="E6">
            <v>1.12147132940085</v>
          </cell>
          <cell r="F6">
            <v>3.0467240606696002</v>
          </cell>
          <cell r="G6">
            <v>3.1565954176178401</v>
          </cell>
          <cell r="H6">
            <v>5.2009788771190703E-2</v>
          </cell>
        </row>
        <row r="7">
          <cell r="B7">
            <v>3.2183699671122299</v>
          </cell>
          <cell r="C7">
            <v>-2.6737645571072301E-2</v>
          </cell>
          <cell r="D7">
            <v>6.4634775797955299</v>
          </cell>
          <cell r="E7">
            <v>1.38250764841868</v>
          </cell>
          <cell r="F7">
            <v>2.3279219979675401</v>
          </cell>
          <cell r="G7">
            <v>7.2648274102259398</v>
          </cell>
          <cell r="H7">
            <v>5.1468793809265202E-2</v>
          </cell>
        </row>
        <row r="8">
          <cell r="B8">
            <v>6.68677793994088</v>
          </cell>
          <cell r="C8">
            <v>3.37570442574137</v>
          </cell>
          <cell r="D8">
            <v>9.9978514541404007</v>
          </cell>
          <cell r="E8">
            <v>1.18541586014366</v>
          </cell>
          <cell r="F8">
            <v>5.6408709928434</v>
          </cell>
          <cell r="G8">
            <v>3.94008765623619</v>
          </cell>
          <cell r="H8">
            <v>5.0867269733013004E-3</v>
          </cell>
        </row>
        <row r="9">
          <cell r="B9">
            <v>6.3112649583948404</v>
          </cell>
          <cell r="C9">
            <v>2.9324993622075</v>
          </cell>
          <cell r="D9">
            <v>9.6900305545821901</v>
          </cell>
          <cell r="E9">
            <v>1.1526504282805701</v>
          </cell>
          <cell r="F9">
            <v>5.4754371347516502</v>
          </cell>
          <cell r="G9">
            <v>3.52266842463944</v>
          </cell>
          <cell r="H9">
            <v>7.7679131788262598E-3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phon_b0"/>
    </sheetNames>
    <sheetDataSet>
      <sheetData sheetId="0">
        <row r="2">
          <cell r="B2">
            <v>89.929313512108493</v>
          </cell>
          <cell r="C2">
            <v>73.538351456149897</v>
          </cell>
          <cell r="D2">
            <v>106.320275568067</v>
          </cell>
          <cell r="E2">
            <v>7.3764376616059</v>
          </cell>
          <cell r="F2">
            <v>12.191428659417401</v>
          </cell>
          <cell r="G2">
            <v>10.205572104300501</v>
          </cell>
          <cell r="H2">
            <v>2.0692240473470999E-7</v>
          </cell>
        </row>
        <row r="3">
          <cell r="B3">
            <v>90.285240771054006</v>
          </cell>
          <cell r="C3">
            <v>73.887466092161503</v>
          </cell>
          <cell r="D3">
            <v>106.683015449946</v>
          </cell>
          <cell r="E3">
            <v>7.3822664400354903</v>
          </cell>
          <cell r="F3">
            <v>12.230016554458</v>
          </cell>
          <cell r="G3">
            <v>10.2344844632575</v>
          </cell>
          <cell r="H3">
            <v>1.95296134957952E-7</v>
          </cell>
        </row>
        <row r="4">
          <cell r="B4">
            <v>90.017312438904298</v>
          </cell>
          <cell r="C4">
            <v>73.6391135775918</v>
          </cell>
          <cell r="D4">
            <v>106.395511300216</v>
          </cell>
          <cell r="E4">
            <v>7.3696300157975703</v>
          </cell>
          <cell r="F4">
            <v>12.2146311613938</v>
          </cell>
          <cell r="G4">
            <v>10.1944694833414</v>
          </cell>
          <cell r="H4">
            <v>2.05332603690979E-7</v>
          </cell>
        </row>
        <row r="5">
          <cell r="B5">
            <v>74.259830267189301</v>
          </cell>
          <cell r="C5">
            <v>57.849210747626202</v>
          </cell>
          <cell r="D5">
            <v>90.6704497867523</v>
          </cell>
          <cell r="E5">
            <v>7.4140078621876002</v>
          </cell>
          <cell r="F5">
            <v>10.0161520796226</v>
          </cell>
          <cell r="G5">
            <v>10.5140174257693</v>
          </cell>
          <cell r="H5">
            <v>1.0503305291660401E-6</v>
          </cell>
        </row>
        <row r="6">
          <cell r="B6">
            <v>89.929313512108493</v>
          </cell>
          <cell r="C6">
            <v>73.538351456149897</v>
          </cell>
          <cell r="D6">
            <v>106.320275568067</v>
          </cell>
          <cell r="E6">
            <v>7.3764376616059</v>
          </cell>
          <cell r="F6">
            <v>12.191428659417401</v>
          </cell>
          <cell r="G6">
            <v>10.205572104300501</v>
          </cell>
          <cell r="H6">
            <v>2.0692240473470999E-7</v>
          </cell>
        </row>
        <row r="7">
          <cell r="B7">
            <v>86.443824810668701</v>
          </cell>
          <cell r="C7">
            <v>64.320901427844603</v>
          </cell>
          <cell r="D7">
            <v>108.566748193492</v>
          </cell>
          <cell r="E7">
            <v>11.000392262748001</v>
          </cell>
          <cell r="F7">
            <v>7.8582493011093604</v>
          </cell>
          <cell r="G7">
            <v>47.571138959467397</v>
          </cell>
          <cell r="H7">
            <v>3.8294553343958899E-10</v>
          </cell>
        </row>
        <row r="8">
          <cell r="B8">
            <v>82.8441327885714</v>
          </cell>
          <cell r="C8">
            <v>65.2229207893987</v>
          </cell>
          <cell r="D8">
            <v>100.465344787744</v>
          </cell>
          <cell r="E8">
            <v>8.3372248642924394</v>
          </cell>
          <cell r="F8">
            <v>9.9366556782443407</v>
          </cell>
          <cell r="G8">
            <v>16.613732620412701</v>
          </cell>
          <cell r="H8">
            <v>2.1106772589426099E-8</v>
          </cell>
        </row>
        <row r="9">
          <cell r="B9">
            <v>80.649806356779393</v>
          </cell>
          <cell r="C9">
            <v>63.697614837963201</v>
          </cell>
          <cell r="D9">
            <v>97.601997875595501</v>
          </cell>
          <cell r="E9">
            <v>7.8551145430751896</v>
          </cell>
          <cell r="F9">
            <v>10.2671712696892</v>
          </cell>
          <cell r="G9">
            <v>13.1353002112668</v>
          </cell>
          <cell r="H9">
            <v>1.2058923948108E-7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phon_b0"/>
    </sheetNames>
    <sheetDataSet>
      <sheetData sheetId="0">
        <row r="2">
          <cell r="B2">
            <v>294.05119086836402</v>
          </cell>
          <cell r="C2">
            <v>213.20404416200401</v>
          </cell>
          <cell r="D2">
            <v>374.89833757472502</v>
          </cell>
          <cell r="E2">
            <v>30.340841593289198</v>
          </cell>
          <cell r="F2">
            <v>9.69159639043772</v>
          </cell>
          <cell r="G2">
            <v>4.4718850389704299</v>
          </cell>
          <cell r="H2">
            <v>3.6124452731722698E-4</v>
          </cell>
        </row>
        <row r="3">
          <cell r="B3">
            <v>293.60752949351303</v>
          </cell>
          <cell r="C3">
            <v>212.76384444546301</v>
          </cell>
          <cell r="D3">
            <v>374.45121454156401</v>
          </cell>
          <cell r="E3">
            <v>30.344357374470299</v>
          </cell>
          <cell r="F3">
            <v>9.6758526097683806</v>
          </cell>
          <cell r="G3">
            <v>4.47394836491367</v>
          </cell>
          <cell r="H3">
            <v>3.6290758051727399E-4</v>
          </cell>
        </row>
        <row r="4">
          <cell r="B4">
            <v>292.99545977999901</v>
          </cell>
          <cell r="C4">
            <v>212.14331535644601</v>
          </cell>
          <cell r="D4">
            <v>373.84760420355201</v>
          </cell>
          <cell r="E4">
            <v>30.335404396157401</v>
          </cell>
          <cell r="F4">
            <v>9.6585315281675399</v>
          </cell>
          <cell r="G4">
            <v>4.4687550267053604</v>
          </cell>
          <cell r="H4">
            <v>3.6792524706293599E-4</v>
          </cell>
        </row>
        <row r="5">
          <cell r="B5">
            <v>280.46367412455697</v>
          </cell>
          <cell r="C5">
            <v>199.63346499875499</v>
          </cell>
          <cell r="D5">
            <v>361.29388325035802</v>
          </cell>
          <cell r="E5">
            <v>30.356009561034998</v>
          </cell>
          <cell r="F5">
            <v>9.2391482998002701</v>
          </cell>
          <cell r="G5">
            <v>4.4811242661705499</v>
          </cell>
          <cell r="H5">
            <v>4.3895573909402398E-4</v>
          </cell>
        </row>
        <row r="6">
          <cell r="B6">
            <v>294.05119086836402</v>
          </cell>
          <cell r="C6">
            <v>213.20404416200401</v>
          </cell>
          <cell r="D6">
            <v>374.89833757472502</v>
          </cell>
          <cell r="E6">
            <v>30.340841593289198</v>
          </cell>
          <cell r="F6">
            <v>9.69159639043772</v>
          </cell>
          <cell r="G6">
            <v>4.4718850389704299</v>
          </cell>
          <cell r="H6">
            <v>3.6124452731722698E-4</v>
          </cell>
        </row>
        <row r="7">
          <cell r="B7">
            <v>222.26560558993</v>
          </cell>
          <cell r="C7">
            <v>142.35371146867899</v>
          </cell>
          <cell r="D7">
            <v>302.17749971118099</v>
          </cell>
          <cell r="E7">
            <v>32.6605745015952</v>
          </cell>
          <cell r="F7">
            <v>6.8053183075231596</v>
          </cell>
          <cell r="G7">
            <v>6.0017513786107504</v>
          </cell>
          <cell r="H7">
            <v>4.9269641280089496E-4</v>
          </cell>
        </row>
        <row r="8">
          <cell r="B8">
            <v>291.53137059724799</v>
          </cell>
          <cell r="C8">
            <v>211.13541957122101</v>
          </cell>
          <cell r="D8">
            <v>371.92732162327599</v>
          </cell>
          <cell r="E8">
            <v>30.877399079162799</v>
          </cell>
          <cell r="F8">
            <v>9.4415779596534701</v>
          </cell>
          <cell r="G8">
            <v>4.7966099652244099</v>
          </cell>
          <cell r="H8">
            <v>2.8091540086608898E-4</v>
          </cell>
        </row>
        <row r="9">
          <cell r="B9">
            <v>290.49541298269202</v>
          </cell>
          <cell r="C9">
            <v>209.885246119117</v>
          </cell>
          <cell r="D9">
            <v>371.10557984626797</v>
          </cell>
          <cell r="E9">
            <v>30.5972589270249</v>
          </cell>
          <cell r="F9">
            <v>9.4941646137495503</v>
          </cell>
          <cell r="G9">
            <v>4.6249972013359999</v>
          </cell>
          <cell r="H9">
            <v>3.3167528169713499E-4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phon_b1"/>
    </sheetNames>
    <sheetDataSet>
      <sheetData sheetId="0">
        <row r="2">
          <cell r="C2">
            <v>0.10953319660482599</v>
          </cell>
          <cell r="D2">
            <v>-0.16353737783882699</v>
          </cell>
          <cell r="E2">
            <v>0.38260377104847998</v>
          </cell>
          <cell r="F2">
            <v>0.13904606499414501</v>
          </cell>
          <cell r="G2">
            <v>0.78774754689705295</v>
          </cell>
          <cell r="H2">
            <v>606.100446642576</v>
          </cell>
          <cell r="I2">
            <v>0.43115234135213099</v>
          </cell>
        </row>
        <row r="3">
          <cell r="C3">
            <v>1.07031830643319</v>
          </cell>
          <cell r="D3">
            <v>0.78146578622514395</v>
          </cell>
          <cell r="E3">
            <v>1.3591708266412399</v>
          </cell>
          <cell r="F3">
            <v>0.14708256129815001</v>
          </cell>
          <cell r="G3">
            <v>7.2769898551301297</v>
          </cell>
          <cell r="H3">
            <v>606.95547673376802</v>
          </cell>
          <cell r="I3">
            <v>1.06032242087042E-12</v>
          </cell>
        </row>
        <row r="4">
          <cell r="C4">
            <v>1.3681832636910001</v>
          </cell>
          <cell r="D4">
            <v>1.00760128786453</v>
          </cell>
          <cell r="E4">
            <v>1.72876523951747</v>
          </cell>
          <cell r="F4">
            <v>0.18360908894302</v>
          </cell>
          <cell r="G4">
            <v>7.4516096755732697</v>
          </cell>
          <cell r="H4">
            <v>610.57121734933196</v>
          </cell>
          <cell r="I4">
            <v>3.1670216374200401E-13</v>
          </cell>
        </row>
        <row r="5">
          <cell r="C5">
            <v>0.96078510989955401</v>
          </cell>
          <cell r="D5">
            <v>0.671189186755765</v>
          </cell>
          <cell r="E5">
            <v>1.25038103304334</v>
          </cell>
          <cell r="F5">
            <v>0.14746125529333801</v>
          </cell>
          <cell r="G5">
            <v>6.5155088228992897</v>
          </cell>
          <cell r="H5">
            <v>607.27734788164798</v>
          </cell>
          <cell r="I5">
            <v>1.52214595592987E-10</v>
          </cell>
        </row>
        <row r="6">
          <cell r="C6">
            <v>1.2586500674385701</v>
          </cell>
          <cell r="D6">
            <v>0.89624865017186806</v>
          </cell>
          <cell r="E6">
            <v>1.6210514847052899</v>
          </cell>
          <cell r="F6">
            <v>0.184535803102202</v>
          </cell>
          <cell r="G6">
            <v>6.8206280097390897</v>
          </cell>
          <cell r="H6">
            <v>610.98932296258795</v>
          </cell>
          <cell r="I6">
            <v>2.1838848433885499E-11</v>
          </cell>
        </row>
        <row r="7">
          <cell r="C7">
            <v>0.29786495745087699</v>
          </cell>
          <cell r="D7">
            <v>-1.468487412696E-2</v>
          </cell>
          <cell r="E7">
            <v>0.61041478902871504</v>
          </cell>
          <cell r="F7">
            <v>0.15915029484954901</v>
          </cell>
          <cell r="G7">
            <v>1.8715953855596601</v>
          </cell>
          <cell r="H7">
            <v>609.17064053521301</v>
          </cell>
          <cell r="I7">
            <v>6.1741619781302402E-2</v>
          </cell>
        </row>
        <row r="8">
          <cell r="C8">
            <v>2.8679292069280402</v>
          </cell>
          <cell r="D8">
            <v>1.7491581522767501</v>
          </cell>
          <cell r="E8">
            <v>3.9867002615793301</v>
          </cell>
          <cell r="F8">
            <v>0.56968630438078904</v>
          </cell>
          <cell r="G8">
            <v>5.03422530061572</v>
          </cell>
          <cell r="H8">
            <v>613.69870272355104</v>
          </cell>
          <cell r="I8">
            <v>6.3138907831081999E-7</v>
          </cell>
        </row>
        <row r="9">
          <cell r="C9">
            <v>0.34695481077673501</v>
          </cell>
          <cell r="D9">
            <v>-0.19679744091509699</v>
          </cell>
          <cell r="E9">
            <v>0.89070706246856801</v>
          </cell>
          <cell r="F9">
            <v>0.27688114288336002</v>
          </cell>
          <cell r="G9">
            <v>1.2530821245666901</v>
          </cell>
          <cell r="H9">
            <v>612.09619363946001</v>
          </cell>
          <cell r="I9">
            <v>0.21065428740390599</v>
          </cell>
        </row>
        <row r="10">
          <cell r="C10">
            <v>2.2452422339776898</v>
          </cell>
          <cell r="D10">
            <v>1.8937317285747799</v>
          </cell>
          <cell r="E10">
            <v>2.5967527393805998</v>
          </cell>
          <cell r="F10">
            <v>0.17899051146095099</v>
          </cell>
          <cell r="G10">
            <v>12.5439176392739</v>
          </cell>
          <cell r="H10">
            <v>611.66213810550403</v>
          </cell>
          <cell r="I10">
            <v>2.7806132787744498E-32</v>
          </cell>
        </row>
        <row r="11">
          <cell r="C11">
            <v>-2.52097439543846</v>
          </cell>
          <cell r="D11">
            <v>-3.73388203153789</v>
          </cell>
          <cell r="E11">
            <v>-1.30806675933903</v>
          </cell>
          <cell r="F11">
            <v>0.61762158819859703</v>
          </cell>
          <cell r="G11">
            <v>-4.0817459162840004</v>
          </cell>
          <cell r="H11">
            <v>613.82765647556096</v>
          </cell>
          <cell r="I11">
            <v>5.0607911358377997E-5</v>
          </cell>
        </row>
        <row r="12">
          <cell r="C12">
            <v>-0.62268697229144898</v>
          </cell>
          <cell r="D12">
            <v>-1.72971746881786</v>
          </cell>
          <cell r="E12">
            <v>0.48434352423496801</v>
          </cell>
          <cell r="F12">
            <v>0.56370694502682495</v>
          </cell>
          <cell r="G12">
            <v>-1.1046288816998999</v>
          </cell>
          <cell r="H12">
            <v>613.15796455245004</v>
          </cell>
          <cell r="I12">
            <v>0.26975370829766498</v>
          </cell>
        </row>
        <row r="13">
          <cell r="C13">
            <v>1.8982874232062901</v>
          </cell>
          <cell r="D13">
            <v>1.34877225044108</v>
          </cell>
          <cell r="E13">
            <v>2.4478025959715102</v>
          </cell>
          <cell r="F13">
            <v>0.27981480125922897</v>
          </cell>
          <cell r="G13">
            <v>6.7840850972270896</v>
          </cell>
          <cell r="H13">
            <v>611.16187720371204</v>
          </cell>
          <cell r="I13">
            <v>2.76415531851887E-11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phon_b1"/>
    </sheetNames>
    <sheetDataSet>
      <sheetData sheetId="0">
        <row r="2">
          <cell r="C2">
            <v>0.418632707057913</v>
          </cell>
          <cell r="D2">
            <v>3.1727753547632603E-2</v>
          </cell>
          <cell r="E2">
            <v>0.80553766056819498</v>
          </cell>
          <cell r="F2">
            <v>0.19701438481852099</v>
          </cell>
          <cell r="G2">
            <v>2.1248839644045998</v>
          </cell>
          <cell r="H2">
            <v>613.04837248753404</v>
          </cell>
          <cell r="I2">
            <v>3.39956908173479E-2</v>
          </cell>
        </row>
        <row r="3">
          <cell r="C3">
            <v>0.95020846342850596</v>
          </cell>
          <cell r="D3">
            <v>0.54065914189225905</v>
          </cell>
          <cell r="E3">
            <v>1.35975778496475</v>
          </cell>
          <cell r="F3">
            <v>0.20854544102464201</v>
          </cell>
          <cell r="G3">
            <v>4.5563617155084399</v>
          </cell>
          <cell r="H3">
            <v>613.65018663644696</v>
          </cell>
          <cell r="I3">
            <v>6.2816651929540999E-6</v>
          </cell>
        </row>
        <row r="4">
          <cell r="C4">
            <v>2.68299305635112</v>
          </cell>
          <cell r="D4">
            <v>2.1780425693968701</v>
          </cell>
          <cell r="E4">
            <v>3.1879435433053702</v>
          </cell>
          <cell r="F4">
            <v>0.257126754734744</v>
          </cell>
          <cell r="G4">
            <v>10.434515300124801</v>
          </cell>
          <cell r="H4">
            <v>616.511894927551</v>
          </cell>
          <cell r="I4">
            <v>1.3879792219732801E-23</v>
          </cell>
        </row>
        <row r="5">
          <cell r="C5">
            <v>0.53157575643416399</v>
          </cell>
          <cell r="D5">
            <v>0.121632240403988</v>
          </cell>
          <cell r="E5">
            <v>0.94151927246434097</v>
          </cell>
          <cell r="F5">
            <v>0.20874631685428799</v>
          </cell>
          <cell r="G5">
            <v>2.5465156197473</v>
          </cell>
          <cell r="H5">
            <v>613.87217873383202</v>
          </cell>
          <cell r="I5">
            <v>1.1123483337658099E-2</v>
          </cell>
        </row>
        <row r="6">
          <cell r="C6">
            <v>2.2643603496509299</v>
          </cell>
          <cell r="D6">
            <v>1.75740824280943</v>
          </cell>
          <cell r="E6">
            <v>2.7713124564924301</v>
          </cell>
          <cell r="F6">
            <v>0.25814626071117402</v>
          </cell>
          <cell r="G6">
            <v>8.7716178549818196</v>
          </cell>
          <cell r="H6">
            <v>616.824673989296</v>
          </cell>
          <cell r="I6">
            <v>1.7136446274365601E-17</v>
          </cell>
        </row>
        <row r="7">
          <cell r="C7">
            <v>1.7327845929102901</v>
          </cell>
          <cell r="D7">
            <v>1.2941455382264699</v>
          </cell>
          <cell r="E7">
            <v>2.1714236475941102</v>
          </cell>
          <cell r="F7">
            <v>0.223359454531249</v>
          </cell>
          <cell r="G7">
            <v>7.7578296228685604</v>
          </cell>
          <cell r="H7">
            <v>615.48177733649197</v>
          </cell>
          <cell r="I7">
            <v>3.6035240134364099E-14</v>
          </cell>
        </row>
        <row r="8">
          <cell r="C8">
            <v>-0.19844371521982301</v>
          </cell>
          <cell r="D8">
            <v>-1.7877470500117401</v>
          </cell>
          <cell r="E8">
            <v>1.3908596195720999</v>
          </cell>
          <cell r="F8">
            <v>0.80929831790545803</v>
          </cell>
          <cell r="G8">
            <v>-0.24520465547662901</v>
          </cell>
          <cell r="H8">
            <v>618.95361442560102</v>
          </cell>
          <cell r="I8">
            <v>0.80637924741740896</v>
          </cell>
        </row>
        <row r="9">
          <cell r="C9">
            <v>3.2699642576496899</v>
          </cell>
          <cell r="D9">
            <v>2.51806888749566</v>
          </cell>
          <cell r="E9">
            <v>4.0218596278037202</v>
          </cell>
          <cell r="F9">
            <v>0.38287427197868101</v>
          </cell>
          <cell r="G9">
            <v>8.5405693120893993</v>
          </cell>
          <cell r="H9">
            <v>616.72864570412003</v>
          </cell>
          <cell r="I9">
            <v>1.04371682019489E-16</v>
          </cell>
        </row>
        <row r="10">
          <cell r="C10">
            <v>2.8944512760333798</v>
          </cell>
          <cell r="D10">
            <v>2.4016668177576301</v>
          </cell>
          <cell r="E10">
            <v>3.3872357343091202</v>
          </cell>
          <cell r="F10">
            <v>0.25093196195292999</v>
          </cell>
          <cell r="G10">
            <v>11.5348051061598</v>
          </cell>
          <cell r="H10">
            <v>616.87781800571599</v>
          </cell>
          <cell r="I10">
            <v>5.20926996980115E-28</v>
          </cell>
        </row>
        <row r="11">
          <cell r="C11">
            <v>3.4684079732185902</v>
          </cell>
          <cell r="D11">
            <v>1.7518730933751201</v>
          </cell>
          <cell r="E11">
            <v>5.1849428530620596</v>
          </cell>
          <cell r="F11">
            <v>0.874086351275141</v>
          </cell>
          <cell r="G11">
            <v>3.96803813279864</v>
          </cell>
          <cell r="H11">
            <v>618.85404423062698</v>
          </cell>
          <cell r="I11">
            <v>8.0956265869833096E-5</v>
          </cell>
        </row>
        <row r="12">
          <cell r="C12">
            <v>3.0928949915396902</v>
          </cell>
          <cell r="D12">
            <v>1.5214235222457599</v>
          </cell>
          <cell r="E12">
            <v>4.6643664608336204</v>
          </cell>
          <cell r="F12">
            <v>0.80021660450259302</v>
          </cell>
          <cell r="G12">
            <v>3.8650722493595402</v>
          </cell>
          <cell r="H12">
            <v>618.38314013745605</v>
          </cell>
          <cell r="I12">
            <v>1.2279395095364599E-4</v>
          </cell>
        </row>
        <row r="13">
          <cell r="C13">
            <v>-0.37551298159564001</v>
          </cell>
          <cell r="D13">
            <v>-1.14627454170468</v>
          </cell>
          <cell r="E13">
            <v>0.39524857851340001</v>
          </cell>
          <cell r="F13">
            <v>0.39248097301754398</v>
          </cell>
          <cell r="G13">
            <v>-0.95676735284401804</v>
          </cell>
          <cell r="H13">
            <v>616.57487825810495</v>
          </cell>
          <cell r="I13">
            <v>0.33905967791852198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phon_b1"/>
    </sheetNames>
    <sheetDataSet>
      <sheetData sheetId="0">
        <row r="2">
          <cell r="C2">
            <v>0.35593861332395399</v>
          </cell>
          <cell r="D2">
            <v>-3.5475078326291198</v>
          </cell>
          <cell r="E2">
            <v>4.2593850592770304</v>
          </cell>
          <cell r="F2">
            <v>1.9876265285777801</v>
          </cell>
          <cell r="G2">
            <v>0.17907721003232899</v>
          </cell>
          <cell r="H2">
            <v>608.03194043001304</v>
          </cell>
          <cell r="I2">
            <v>0.85793673157481498</v>
          </cell>
        </row>
        <row r="3">
          <cell r="C3">
            <v>8.7947238702248201E-2</v>
          </cell>
          <cell r="D3">
            <v>-4.0514862396431397</v>
          </cell>
          <cell r="E3">
            <v>4.2273807170476401</v>
          </cell>
          <cell r="F3">
            <v>2.1077977496123901</v>
          </cell>
          <cell r="G3">
            <v>4.1724704715346103E-2</v>
          </cell>
          <cell r="H3">
            <v>609.06524312568104</v>
          </cell>
          <cell r="I3">
            <v>0.96673183365251603</v>
          </cell>
        </row>
        <row r="4">
          <cell r="C4">
            <v>-15.669509028153101</v>
          </cell>
          <cell r="D4">
            <v>-20.753437720268199</v>
          </cell>
          <cell r="E4">
            <v>-10.585580336037999</v>
          </cell>
          <cell r="F4">
            <v>2.5887277415559802</v>
          </cell>
          <cell r="G4">
            <v>-6.0529768258808101</v>
          </cell>
          <cell r="H4">
            <v>608.29043574273203</v>
          </cell>
          <cell r="I4">
            <v>2.48787353401893E-9</v>
          </cell>
        </row>
        <row r="5">
          <cell r="C5">
            <v>-0.26799003062647903</v>
          </cell>
          <cell r="D5">
            <v>-4.4072301795740501</v>
          </cell>
          <cell r="E5">
            <v>3.8712501183210901</v>
          </cell>
          <cell r="F5">
            <v>2.10770076398396</v>
          </cell>
          <cell r="G5">
            <v>-0.12714804454496001</v>
          </cell>
          <cell r="H5">
            <v>609.27686665357305</v>
          </cell>
          <cell r="I5">
            <v>0.89886517665834897</v>
          </cell>
        </row>
        <row r="6">
          <cell r="C6">
            <v>-16.025441698620298</v>
          </cell>
          <cell r="D6">
            <v>-21.126232638264199</v>
          </cell>
          <cell r="E6">
            <v>-10.924650758976499</v>
          </cell>
          <cell r="F6">
            <v>2.5973123291568001</v>
          </cell>
          <cell r="G6">
            <v>-6.1700094820028397</v>
          </cell>
          <cell r="H6">
            <v>608.09785776639501</v>
          </cell>
          <cell r="I6">
            <v>1.2468405935870099E-9</v>
          </cell>
        </row>
        <row r="7">
          <cell r="C7">
            <v>-15.7574821665845</v>
          </cell>
          <cell r="D7">
            <v>-20.183413684612201</v>
          </cell>
          <cell r="E7">
            <v>-11.3315506485567</v>
          </cell>
          <cell r="F7">
            <v>2.2536839201958898</v>
          </cell>
          <cell r="G7">
            <v>-6.9918776210706897</v>
          </cell>
          <cell r="H7">
            <v>609.26779765419997</v>
          </cell>
          <cell r="I7">
            <v>7.1505221670151199E-12</v>
          </cell>
        </row>
        <row r="8">
          <cell r="C8">
            <v>-3.4855408380506701</v>
          </cell>
          <cell r="D8">
            <v>-19.527754938950601</v>
          </cell>
          <cell r="E8">
            <v>12.5566732628492</v>
          </cell>
          <cell r="F8">
            <v>8.1688095602082704</v>
          </cell>
          <cell r="G8">
            <v>-0.42668895784146499</v>
          </cell>
          <cell r="H8">
            <v>613.63148044812795</v>
          </cell>
          <cell r="I8">
            <v>0.66975554784957603</v>
          </cell>
        </row>
        <row r="9">
          <cell r="C9">
            <v>-7.0852176785093297</v>
          </cell>
          <cell r="D9">
            <v>-14.6820478320679</v>
          </cell>
          <cell r="E9">
            <v>0.51161247504931395</v>
          </cell>
          <cell r="F9">
            <v>3.8683529031339701</v>
          </cell>
          <cell r="G9">
            <v>-1.8315851360844499</v>
          </cell>
          <cell r="H9">
            <v>613.06511949291803</v>
          </cell>
          <cell r="I9">
            <v>6.7498310335241299E-2</v>
          </cell>
        </row>
        <row r="10">
          <cell r="C10">
            <v>-9.2795679617357703</v>
          </cell>
          <cell r="D10">
            <v>-14.283145767576899</v>
          </cell>
          <cell r="E10">
            <v>-4.2759901558946103</v>
          </cell>
          <cell r="F10">
            <v>2.5478443894321998</v>
          </cell>
          <cell r="G10">
            <v>-3.6421250843359898</v>
          </cell>
          <cell r="H10">
            <v>612.04765474632597</v>
          </cell>
          <cell r="I10">
            <v>2.9330492632409098E-4</v>
          </cell>
        </row>
        <row r="11">
          <cell r="C11">
            <v>-3.5996822962942501</v>
          </cell>
          <cell r="D11">
            <v>-20.890269445218198</v>
          </cell>
          <cell r="E11">
            <v>13.6909048526296</v>
          </cell>
          <cell r="F11">
            <v>8.8044275252230193</v>
          </cell>
          <cell r="G11">
            <v>-0.40884910302025201</v>
          </cell>
          <cell r="H11">
            <v>611.43612498791595</v>
          </cell>
          <cell r="I11">
            <v>0.68279356238886901</v>
          </cell>
        </row>
        <row r="12">
          <cell r="C12">
            <v>-5.7940204712960597</v>
          </cell>
          <cell r="D12">
            <v>-21.675481594072501</v>
          </cell>
          <cell r="E12">
            <v>10.0874406514803</v>
          </cell>
          <cell r="F12">
            <v>8.0869322331893603</v>
          </cell>
          <cell r="G12">
            <v>-0.71646704884170698</v>
          </cell>
          <cell r="H12">
            <v>612.835151193211</v>
          </cell>
          <cell r="I12">
            <v>0.47397594297450202</v>
          </cell>
        </row>
        <row r="13">
          <cell r="C13">
            <v>-2.1943427470129699</v>
          </cell>
          <cell r="D13">
            <v>-9.9871565105474307</v>
          </cell>
          <cell r="E13">
            <v>5.5984710165214899</v>
          </cell>
          <cell r="F13">
            <v>3.96814912724953</v>
          </cell>
          <cell r="G13">
            <v>-0.55298898217919201</v>
          </cell>
          <cell r="H13">
            <v>613.07743630076504</v>
          </cell>
          <cell r="I13">
            <v>0.58047253053764503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phon_b1"/>
    </sheetNames>
    <sheetDataSet>
      <sheetData sheetId="0">
        <row r="2">
          <cell r="C2">
            <v>-0.44366137537456302</v>
          </cell>
          <cell r="D2">
            <v>-6.1912979394804699</v>
          </cell>
          <cell r="E2">
            <v>5.3039751887313402</v>
          </cell>
          <cell r="F2">
            <v>2.92671345012534</v>
          </cell>
          <cell r="G2">
            <v>-0.15159030186421599</v>
          </cell>
          <cell r="H2">
            <v>611.097588935104</v>
          </cell>
          <cell r="I2">
            <v>0.87956011264667799</v>
          </cell>
        </row>
        <row r="3">
          <cell r="C3">
            <v>-1.05573108957506</v>
          </cell>
          <cell r="D3">
            <v>-7.1423432513311402</v>
          </cell>
          <cell r="E3">
            <v>5.0308810721810202</v>
          </cell>
          <cell r="F3">
            <v>3.0993242804741201</v>
          </cell>
          <cell r="G3">
            <v>-0.34063266507032303</v>
          </cell>
          <cell r="H3">
            <v>611.44142906332797</v>
          </cell>
          <cell r="I3">
            <v>0.733497137676968</v>
          </cell>
        </row>
        <row r="4">
          <cell r="C4">
            <v>-13.5875167445828</v>
          </cell>
          <cell r="D4">
            <v>-21.095006589364498</v>
          </cell>
          <cell r="E4">
            <v>-6.0800268998011902</v>
          </cell>
          <cell r="F4">
            <v>3.8228642100874999</v>
          </cell>
          <cell r="G4">
            <v>-3.5542765837010499</v>
          </cell>
          <cell r="H4">
            <v>613.38510499824099</v>
          </cell>
          <cell r="I4">
            <v>4.0817804449932299E-4</v>
          </cell>
        </row>
        <row r="5">
          <cell r="C5">
            <v>-0.61206971435859803</v>
          </cell>
          <cell r="D5">
            <v>-6.7042442169074103</v>
          </cell>
          <cell r="E5">
            <v>5.4801047881902196</v>
          </cell>
          <cell r="F5">
            <v>3.1021578866535502</v>
          </cell>
          <cell r="G5">
            <v>-0.197304501164144</v>
          </cell>
          <cell r="H5">
            <v>611.56495576810403</v>
          </cell>
          <cell r="I5">
            <v>0.84365481363403005</v>
          </cell>
        </row>
        <row r="6">
          <cell r="C6">
            <v>-13.143855369667399</v>
          </cell>
          <cell r="D6">
            <v>-20.680952987566801</v>
          </cell>
          <cell r="E6">
            <v>-5.6067577517679297</v>
          </cell>
          <cell r="F6">
            <v>3.8379429583010798</v>
          </cell>
          <cell r="G6">
            <v>-3.4247135802887798</v>
          </cell>
          <cell r="H6">
            <v>613.56878327634695</v>
          </cell>
          <cell r="I6">
            <v>6.5650260262401601E-4</v>
          </cell>
        </row>
        <row r="7">
          <cell r="C7">
            <v>-12.5317856553689</v>
          </cell>
          <cell r="D7">
            <v>-19.0500071488229</v>
          </cell>
          <cell r="E7">
            <v>-6.0135641619150197</v>
          </cell>
          <cell r="F7">
            <v>3.3191156061404201</v>
          </cell>
          <cell r="G7">
            <v>-3.7756400024708201</v>
          </cell>
          <cell r="H7">
            <v>612.77618320031297</v>
          </cell>
          <cell r="I7">
            <v>1.75132024489646E-4</v>
          </cell>
        </row>
        <row r="8">
          <cell r="C8">
            <v>-71.785585283959605</v>
          </cell>
          <cell r="D8">
            <v>-95.529250193013695</v>
          </cell>
          <cell r="E8">
            <v>-48.041920374905402</v>
          </cell>
          <cell r="F8">
            <v>12.090482539677099</v>
          </cell>
          <cell r="G8">
            <v>-5.9373631323962597</v>
          </cell>
          <cell r="H8">
            <v>614.64585639042195</v>
          </cell>
          <cell r="I8">
            <v>4.84507441767796E-9</v>
          </cell>
        </row>
        <row r="9">
          <cell r="C9">
            <v>-2.51982027117334</v>
          </cell>
          <cell r="D9">
            <v>-13.730258163909401</v>
          </cell>
          <cell r="E9">
            <v>8.69061762156276</v>
          </cell>
          <cell r="F9">
            <v>5.7084254451660996</v>
          </cell>
          <cell r="G9">
            <v>-0.441421245731979</v>
          </cell>
          <cell r="H9">
            <v>613.12647078644704</v>
          </cell>
          <cell r="I9">
            <v>0.65906368992076403</v>
          </cell>
        </row>
        <row r="10">
          <cell r="C10">
            <v>-3.55577788582498</v>
          </cell>
          <cell r="D10">
            <v>-10.8934032527802</v>
          </cell>
          <cell r="E10">
            <v>3.78184748113028</v>
          </cell>
          <cell r="F10">
            <v>3.73636488187244</v>
          </cell>
          <cell r="G10">
            <v>-0.95166773006469396</v>
          </cell>
          <cell r="H10">
            <v>613.11981751104895</v>
          </cell>
          <cell r="I10">
            <v>0.34164052153100299</v>
          </cell>
        </row>
        <row r="11">
          <cell r="C11">
            <v>69.265765002492302</v>
          </cell>
          <cell r="D11">
            <v>43.693834425145198</v>
          </cell>
          <cell r="E11">
            <v>94.837695579839405</v>
          </cell>
          <cell r="F11">
            <v>13.0214500518526</v>
          </cell>
          <cell r="G11">
            <v>5.3193588061751296</v>
          </cell>
          <cell r="H11">
            <v>614.612112667117</v>
          </cell>
          <cell r="I11">
            <v>1.4603835236322801E-7</v>
          </cell>
        </row>
        <row r="12">
          <cell r="C12">
            <v>68.229807389997106</v>
          </cell>
          <cell r="D12">
            <v>44.729366092968</v>
          </cell>
          <cell r="E12">
            <v>91.730248687026105</v>
          </cell>
          <cell r="F12">
            <v>11.966617015005401</v>
          </cell>
          <cell r="G12">
            <v>5.7016788708488599</v>
          </cell>
          <cell r="H12">
            <v>614.28349966021506</v>
          </cell>
          <cell r="I12">
            <v>1.84382070057621E-8</v>
          </cell>
        </row>
        <row r="13">
          <cell r="C13">
            <v>-1.0359576147043501</v>
          </cell>
          <cell r="D13">
            <v>-12.53941609016</v>
          </cell>
          <cell r="E13">
            <v>10.467500860751301</v>
          </cell>
          <cell r="F13">
            <v>5.8576317122628199</v>
          </cell>
          <cell r="G13">
            <v>-0.17685605131773699</v>
          </cell>
          <cell r="H13">
            <v>613.03886679244897</v>
          </cell>
          <cell r="I13">
            <v>0.85967987273628799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</row>
        <row r="2">
          <cell r="B2">
            <v>-0.52353979027253095</v>
          </cell>
          <cell r="C2">
            <v>-0.875233769253009</v>
          </cell>
          <cell r="D2">
            <v>-0.17184581129205301</v>
          </cell>
          <cell r="E2">
            <v>0.15901510122401699</v>
          </cell>
          <cell r="F2">
            <v>-3.29239038457724</v>
          </cell>
          <cell r="G2">
            <v>10.579647998862701</v>
          </cell>
          <cell r="H2">
            <v>7.5423206454383798E-3</v>
          </cell>
        </row>
        <row r="3">
          <cell r="B3">
            <v>-4.9753135106339497E-2</v>
          </cell>
          <cell r="C3">
            <v>-0.67034954012477899</v>
          </cell>
          <cell r="D3">
            <v>0.57084326991209899</v>
          </cell>
          <cell r="E3">
            <v>0.28243441864628599</v>
          </cell>
          <cell r="F3">
            <v>-0.176158186898067</v>
          </cell>
          <cell r="G3">
            <v>11.152805969689201</v>
          </cell>
          <cell r="H3">
            <v>0.86332763449388095</v>
          </cell>
        </row>
        <row r="4">
          <cell r="B4">
            <v>0.23743757336004501</v>
          </cell>
          <cell r="C4">
            <v>-0.14802119447717799</v>
          </cell>
          <cell r="D4">
            <v>0.622896341197268</v>
          </cell>
          <cell r="E4">
            <v>0.17707019232993801</v>
          </cell>
          <cell r="F4">
            <v>1.3409234509534</v>
          </cell>
          <cell r="G4">
            <v>12.097346266187699</v>
          </cell>
          <cell r="H4">
            <v>0.20458079354737199</v>
          </cell>
        </row>
        <row r="5">
          <cell r="B5">
            <v>1.67378616080225</v>
          </cell>
          <cell r="C5">
            <v>0.70534574293183705</v>
          </cell>
          <cell r="D5">
            <v>2.6422265786726702</v>
          </cell>
          <cell r="E5">
            <v>0.43732359179105101</v>
          </cell>
          <cell r="F5">
            <v>3.8273401943565202</v>
          </cell>
          <cell r="G5">
            <v>10.476764087094701</v>
          </cell>
          <cell r="H5">
            <v>3.0637351248745102E-3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mode_only_b0"/>
    </sheetNames>
    <sheetDataSet>
      <sheetData sheetId="0">
        <row r="2">
          <cell r="B2">
            <v>-1.0847290853465901</v>
          </cell>
          <cell r="C2">
            <v>-2.8357516446013902</v>
          </cell>
          <cell r="D2">
            <v>0.66629347390820204</v>
          </cell>
          <cell r="E2">
            <v>0.80255069651954403</v>
          </cell>
          <cell r="F2">
            <v>-1.3516019487002899</v>
          </cell>
          <cell r="G2">
            <v>11.852603454848699</v>
          </cell>
          <cell r="H2">
            <v>0.20173457763462899</v>
          </cell>
        </row>
        <row r="3">
          <cell r="B3">
            <v>-3.5085954682927101</v>
          </cell>
          <cell r="C3">
            <v>-5.9325757703845099</v>
          </cell>
          <cell r="D3">
            <v>-1.08461516620092</v>
          </cell>
          <cell r="E3">
            <v>1.0727388084649601</v>
          </cell>
          <cell r="F3">
            <v>-3.27068941722482</v>
          </cell>
          <cell r="G3">
            <v>9.0668207951320401</v>
          </cell>
          <cell r="H3">
            <v>9.5771483486035598E-3</v>
          </cell>
        </row>
        <row r="4">
          <cell r="B4">
            <v>2.4650478731333498</v>
          </cell>
          <cell r="C4">
            <v>1.1010018453656401</v>
          </cell>
          <cell r="D4">
            <v>3.8290939009010598</v>
          </cell>
          <cell r="E4">
            <v>0.59294309237126996</v>
          </cell>
          <cell r="F4">
            <v>4.15730936888942</v>
          </cell>
          <cell r="G4">
            <v>8.1121433748972294</v>
          </cell>
          <cell r="H4">
            <v>3.0817069950630199E-3</v>
          </cell>
        </row>
        <row r="5">
          <cell r="B5">
            <v>5.52394654787373</v>
          </cell>
          <cell r="C5">
            <v>3.1424667967711599</v>
          </cell>
          <cell r="D5">
            <v>7.9054262989762902</v>
          </cell>
          <cell r="E5">
            <v>1.09052188241313</v>
          </cell>
          <cell r="F5">
            <v>5.0654155931747002</v>
          </cell>
          <cell r="G5">
            <v>11.7579334056738</v>
          </cell>
          <cell r="H5">
            <v>2.9537740825649002E-4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2">
          <cell r="B2">
            <v>-0.38442111827453201</v>
          </cell>
          <cell r="C2">
            <v>-0.75762663330942004</v>
          </cell>
          <cell r="D2">
            <v>-1.12156032396445E-2</v>
          </cell>
          <cell r="E2">
            <v>0.17916577489626601</v>
          </cell>
          <cell r="F2">
            <v>-2.14561692096107</v>
          </cell>
          <cell r="G2">
            <v>20.4510735557182</v>
          </cell>
          <cell r="H2">
            <v>4.4077035526772099E-2</v>
          </cell>
        </row>
        <row r="3">
          <cell r="B3">
            <v>1.9090454207855701E-2</v>
          </cell>
          <cell r="C3">
            <v>-0.64802930203367204</v>
          </cell>
          <cell r="D3">
            <v>0.68621021044938302</v>
          </cell>
          <cell r="E3">
            <v>0.305797408809933</v>
          </cell>
          <cell r="F3">
            <v>6.2428436794640302E-2</v>
          </cell>
          <cell r="G3">
            <v>11.864576039767099</v>
          </cell>
          <cell r="H3">
            <v>0.95126102016046998</v>
          </cell>
        </row>
        <row r="4">
          <cell r="B4">
            <v>0.20147082685336401</v>
          </cell>
          <cell r="C4">
            <v>-0.24246143578272</v>
          </cell>
          <cell r="D4">
            <v>0.64540308948944902</v>
          </cell>
          <cell r="E4">
            <v>0.21563819590665101</v>
          </cell>
          <cell r="F4">
            <v>0.93430028018125399</v>
          </cell>
          <cell r="G4">
            <v>25.204810159968002</v>
          </cell>
          <cell r="H4">
            <v>0.359014281056731</v>
          </cell>
        </row>
        <row r="5">
          <cell r="B5">
            <v>1.45782068605973</v>
          </cell>
          <cell r="C5">
            <v>0.50308063261124503</v>
          </cell>
          <cell r="D5">
            <v>2.41256073950822</v>
          </cell>
          <cell r="E5">
            <v>0.44494121251708502</v>
          </cell>
          <cell r="F5">
            <v>3.27643438065147</v>
          </cell>
          <cell r="G5">
            <v>13.932170255473</v>
          </cell>
          <cell r="H5">
            <v>5.5458762656690501E-3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only_b0"/>
    </sheetNames>
    <sheetDataSet>
      <sheetData sheetId="0">
        <row r="2">
          <cell r="B2">
            <v>294.20861375475403</v>
          </cell>
          <cell r="C2">
            <v>213.45319593610699</v>
          </cell>
          <cell r="D2">
            <v>374.96403157340097</v>
          </cell>
          <cell r="E2">
            <v>30.732478984075001</v>
          </cell>
          <cell r="F2">
            <v>9.5732145105250801</v>
          </cell>
          <cell r="G2">
            <v>4.6618503184810001</v>
          </cell>
          <cell r="H2">
            <v>3.0664191986745903E-4</v>
          </cell>
        </row>
        <row r="3">
          <cell r="B3">
            <v>293.83541250289602</v>
          </cell>
          <cell r="C3">
            <v>213.08268446591799</v>
          </cell>
          <cell r="D3">
            <v>374.58814053987402</v>
          </cell>
          <cell r="E3">
            <v>30.735874587934401</v>
          </cell>
          <cell r="F3">
            <v>9.5600146877955794</v>
          </cell>
          <cell r="G3">
            <v>4.66390002851292</v>
          </cell>
          <cell r="H3">
            <v>3.0782614520721401E-4</v>
          </cell>
        </row>
        <row r="4">
          <cell r="B4">
            <v>291.74515953026599</v>
          </cell>
          <cell r="C4">
            <v>210.97842271262101</v>
          </cell>
          <cell r="D4">
            <v>372.51189634791098</v>
          </cell>
          <cell r="E4">
            <v>30.717970010484301</v>
          </cell>
          <cell r="F4">
            <v>9.4975403462758603</v>
          </cell>
          <cell r="G4">
            <v>4.6531433389066299</v>
          </cell>
          <cell r="H4">
            <v>3.2083210243075101E-4</v>
          </cell>
        </row>
        <row r="5">
          <cell r="B5">
            <v>277.42146884331697</v>
          </cell>
          <cell r="C5">
            <v>196.62652881327099</v>
          </cell>
          <cell r="D5">
            <v>358.216408873364</v>
          </cell>
          <cell r="E5">
            <v>30.682344457074901</v>
          </cell>
          <cell r="F5">
            <v>9.0417298205954904</v>
          </cell>
          <cell r="G5">
            <v>4.6318321386958301</v>
          </cell>
          <cell r="H5">
            <v>4.0861175582376498E-4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2">
          <cell r="B2">
            <v>-1.8878020075566999</v>
          </cell>
          <cell r="C2">
            <v>-3.6381225538835298</v>
          </cell>
          <cell r="D2">
            <v>-0.13748146122987601</v>
          </cell>
          <cell r="E2">
            <v>0.80346480565378398</v>
          </cell>
          <cell r="F2">
            <v>-2.3495764771184802</v>
          </cell>
          <cell r="G2">
            <v>12.0172636414443</v>
          </cell>
          <cell r="H2">
            <v>3.6713026822769099E-2</v>
          </cell>
        </row>
        <row r="3">
          <cell r="B3">
            <v>-4.0033950883418896</v>
          </cell>
          <cell r="C3">
            <v>-6.6543406991710503</v>
          </cell>
          <cell r="D3">
            <v>-1.35244947751274</v>
          </cell>
          <cell r="E3">
            <v>1.1854556319438401</v>
          </cell>
          <cell r="F3">
            <v>-3.3770939885597802</v>
          </cell>
          <cell r="G3">
            <v>9.7400721159056101</v>
          </cell>
          <cell r="H3">
            <v>7.3004914972161702E-3</v>
          </cell>
        </row>
        <row r="4">
          <cell r="B4">
            <v>1.0603770561059001</v>
          </cell>
          <cell r="C4">
            <v>-0.11602240881398899</v>
          </cell>
          <cell r="D4">
            <v>2.2367765210258002</v>
          </cell>
          <cell r="E4">
            <v>0.52240863673414395</v>
          </cell>
          <cell r="F4">
            <v>2.0297846963918702</v>
          </cell>
          <cell r="G4">
            <v>9.2777442708821098</v>
          </cell>
          <cell r="H4">
            <v>7.2021882863407202E-2</v>
          </cell>
        </row>
        <row r="5">
          <cell r="B5">
            <v>3.3264548312707198</v>
          </cell>
          <cell r="C5">
            <v>1.2433649563350599</v>
          </cell>
          <cell r="D5">
            <v>5.4095447062063799</v>
          </cell>
          <cell r="E5">
            <v>0.97366214547632801</v>
          </cell>
          <cell r="F5">
            <v>3.4164364371415199</v>
          </cell>
          <cell r="G5">
            <v>14.383210124455999</v>
          </cell>
          <cell r="H5">
            <v>4.03333212819992E-3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1"/>
    </sheetNames>
    <sheetDataSet>
      <sheetData sheetId="0">
        <row r="2">
          <cell r="C2">
            <v>0.47378459260777001</v>
          </cell>
          <cell r="D2">
            <v>-0.21728530041517399</v>
          </cell>
          <cell r="E2">
            <v>1.1648544856307099</v>
          </cell>
          <cell r="F2">
            <v>0.31042696039187001</v>
          </cell>
          <cell r="G2">
            <v>1.5262353244372899</v>
          </cell>
          <cell r="H2">
            <v>10.0649438716158</v>
          </cell>
          <cell r="I2">
            <v>0.15774188884117299</v>
          </cell>
        </row>
        <row r="3">
          <cell r="C3">
            <v>0.76097638133650203</v>
          </cell>
          <cell r="D3">
            <v>0.20657533600459099</v>
          </cell>
          <cell r="E3">
            <v>1.31537742666841</v>
          </cell>
          <cell r="F3">
            <v>0.249012898987129</v>
          </cell>
          <cell r="G3">
            <v>3.05597173653174</v>
          </cell>
          <cell r="H3">
            <v>10.058119813279999</v>
          </cell>
          <cell r="I3">
            <v>1.20498765328992E-2</v>
          </cell>
        </row>
        <row r="4">
          <cell r="C4">
            <v>2.1973305450155798</v>
          </cell>
          <cell r="D4">
            <v>1.27086356211134</v>
          </cell>
          <cell r="E4">
            <v>3.1237975279198298</v>
          </cell>
          <cell r="F4">
            <v>0.41598701688430001</v>
          </cell>
          <cell r="G4">
            <v>5.2822094340188004</v>
          </cell>
          <cell r="H4">
            <v>10.032741801900899</v>
          </cell>
          <cell r="I4">
            <v>3.5265421460791102E-4</v>
          </cell>
        </row>
        <row r="5">
          <cell r="C5">
            <v>0.28719182728667603</v>
          </cell>
          <cell r="D5">
            <v>-0.27619536483468599</v>
          </cell>
          <cell r="E5">
            <v>0.85057901940803904</v>
          </cell>
          <cell r="F5">
            <v>0.25278098060920201</v>
          </cell>
          <cell r="G5">
            <v>1.13612909719134</v>
          </cell>
          <cell r="H5">
            <v>9.9796043361084799</v>
          </cell>
          <cell r="I5">
            <v>0.28244939184700601</v>
          </cell>
        </row>
        <row r="6">
          <cell r="C6">
            <v>1.72354596224421</v>
          </cell>
          <cell r="D6">
            <v>0.38656275856772898</v>
          </cell>
          <cell r="E6">
            <v>3.0605291659206899</v>
          </cell>
          <cell r="F6">
            <v>0.60018298528295</v>
          </cell>
          <cell r="G6">
            <v>2.87170080543296</v>
          </cell>
          <cell r="H6">
            <v>10.0170141611785</v>
          </cell>
          <cell r="I6">
            <v>1.6593160095756999E-2</v>
          </cell>
        </row>
        <row r="7">
          <cell r="C7">
            <v>1.4363541724389</v>
          </cell>
          <cell r="D7">
            <v>0.173747886383984</v>
          </cell>
          <cell r="E7">
            <v>2.6989604584938198</v>
          </cell>
          <cell r="F7">
            <v>0.56700865353228602</v>
          </cell>
          <cell r="G7">
            <v>2.5332138468978602</v>
          </cell>
          <cell r="H7">
            <v>10.045057726456999</v>
          </cell>
          <cell r="I7">
            <v>2.9612571688781501E-2</v>
          </cell>
        </row>
        <row r="8">
          <cell r="C8">
            <v>0.126</v>
          </cell>
          <cell r="D8">
            <v>-0.16947081719958801</v>
          </cell>
          <cell r="E8">
            <v>0.42068783151473998</v>
          </cell>
          <cell r="F8">
            <v>0.13100000000000001</v>
          </cell>
          <cell r="G8">
            <v>0.96199999999999997</v>
          </cell>
          <cell r="H8">
            <v>9.07</v>
          </cell>
          <cell r="I8">
            <v>0.36105768886178802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mode_only_b1"/>
    </sheetNames>
    <sheetDataSet>
      <sheetData sheetId="0">
        <row r="2">
          <cell r="C2">
            <v>-2.42388123109864</v>
          </cell>
          <cell r="D2">
            <v>-5.1639179054579003</v>
          </cell>
          <cell r="E2">
            <v>0.31615544326061301</v>
          </cell>
          <cell r="F2">
            <v>1.22966142177376</v>
          </cell>
          <cell r="G2">
            <v>-1.97117774712508</v>
          </cell>
          <cell r="H2">
            <v>9.9951482064782198</v>
          </cell>
          <cell r="I2">
            <v>7.7007575189590199E-2</v>
          </cell>
        </row>
        <row r="3">
          <cell r="C3">
            <v>3.5497518552582199</v>
          </cell>
          <cell r="D3">
            <v>1.68894791918596</v>
          </cell>
          <cell r="E3">
            <v>5.4105557913304798</v>
          </cell>
          <cell r="F3">
            <v>0.83497041187126297</v>
          </cell>
          <cell r="G3">
            <v>4.2513504727704303</v>
          </cell>
          <cell r="H3">
            <v>9.9851969944974392</v>
          </cell>
          <cell r="I3">
            <v>1.6915227726735701E-3</v>
          </cell>
        </row>
        <row r="4">
          <cell r="C4">
            <v>6.60866325868583</v>
          </cell>
          <cell r="D4">
            <v>4.03872758741079</v>
          </cell>
          <cell r="E4">
            <v>9.1785989299608701</v>
          </cell>
          <cell r="F4">
            <v>1.1546821263600899</v>
          </cell>
          <cell r="G4">
            <v>5.7233615276598702</v>
          </cell>
          <cell r="H4">
            <v>10.0826677081455</v>
          </cell>
          <cell r="I4">
            <v>1.86136087748461E-4</v>
          </cell>
        </row>
        <row r="5">
          <cell r="C5">
            <v>5.9736332606028402</v>
          </cell>
          <cell r="D5">
            <v>2.7990538276321999</v>
          </cell>
          <cell r="E5">
            <v>9.1482126935734698</v>
          </cell>
          <cell r="F5">
            <v>1.4247856711593501</v>
          </cell>
          <cell r="G5">
            <v>4.1926539419378503</v>
          </cell>
          <cell r="H5">
            <v>10.00095002622</v>
          </cell>
          <cell r="I5">
            <v>1.84975937556112E-3</v>
          </cell>
        </row>
        <row r="6">
          <cell r="C6">
            <v>9.0325449853367594</v>
          </cell>
          <cell r="D6">
            <v>5.1073784365764299</v>
          </cell>
          <cell r="E6">
            <v>12.957711534096999</v>
          </cell>
          <cell r="F6">
            <v>1.76225026124493</v>
          </cell>
          <cell r="G6">
            <v>5.1255744907398997</v>
          </cell>
          <cell r="H6">
            <v>10.0258476233798</v>
          </cell>
          <cell r="I6">
            <v>4.4341100027380599E-4</v>
          </cell>
        </row>
        <row r="7">
          <cell r="C7">
            <v>3.0589118485968601</v>
          </cell>
          <cell r="D7">
            <v>1.2110793880900199</v>
          </cell>
          <cell r="E7">
            <v>4.9067443091036997</v>
          </cell>
          <cell r="F7">
            <v>0.828038061593664</v>
          </cell>
          <cell r="G7">
            <v>3.6941681674748099</v>
          </cell>
          <cell r="H7">
            <v>9.8875289692457606</v>
          </cell>
          <cell r="I7">
            <v>4.2283106167244396E-3</v>
          </cell>
        </row>
        <row r="8">
          <cell r="C8">
            <v>1.454</v>
          </cell>
          <cell r="D8">
            <v>0.34926829005161703</v>
          </cell>
          <cell r="E8">
            <v>2.5589229280695598</v>
          </cell>
          <cell r="F8">
            <v>0.48899999999999999</v>
          </cell>
          <cell r="G8">
            <v>2.9740000000000002</v>
          </cell>
          <cell r="H8">
            <v>9.07</v>
          </cell>
          <cell r="I8">
            <v>1.5474208938682401E-2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0.40351143034436199</v>
          </cell>
          <cell r="D2">
            <v>-0.27396042719042801</v>
          </cell>
          <cell r="E2">
            <v>1.0809832878791501</v>
          </cell>
          <cell r="F2">
            <v>0.306797267928064</v>
          </cell>
          <cell r="G2">
            <v>1.3152380171748199</v>
          </cell>
          <cell r="H2">
            <v>10.712753972400799</v>
          </cell>
          <cell r="I2">
            <v>0.21588542192417601</v>
          </cell>
        </row>
        <row r="3">
          <cell r="C3">
            <v>0.58589431295815897</v>
          </cell>
          <cell r="D3">
            <v>0.110898801323411</v>
          </cell>
          <cell r="E3">
            <v>1.0608898245928999</v>
          </cell>
          <cell r="F3">
            <v>0.21573646461859899</v>
          </cell>
          <cell r="G3">
            <v>2.7157871247865302</v>
          </cell>
          <cell r="H3">
            <v>10.9691929623917</v>
          </cell>
          <cell r="I3">
            <v>2.0127420658882501E-2</v>
          </cell>
        </row>
        <row r="4">
          <cell r="C4">
            <v>1.84223688012531</v>
          </cell>
          <cell r="D4">
            <v>0.93614084005223597</v>
          </cell>
          <cell r="E4">
            <v>2.7483329201983899</v>
          </cell>
          <cell r="F4">
            <v>0.41386317724265598</v>
          </cell>
          <cell r="G4">
            <v>4.4513186517320298</v>
          </cell>
          <cell r="H4">
            <v>11.5002058865102</v>
          </cell>
          <cell r="I4">
            <v>8.7664353876482895E-4</v>
          </cell>
        </row>
        <row r="5">
          <cell r="C5">
            <v>0.182381465988318</v>
          </cell>
          <cell r="D5">
            <v>-0.37755061067474699</v>
          </cell>
          <cell r="E5">
            <v>0.74231354265138405</v>
          </cell>
          <cell r="F5">
            <v>0.25964227752621599</v>
          </cell>
          <cell r="G5">
            <v>0.70243362416162203</v>
          </cell>
          <cell r="H5">
            <v>13.2303086445473</v>
          </cell>
          <cell r="I5">
            <v>0.49458275822104902</v>
          </cell>
        </row>
        <row r="6">
          <cell r="C6">
            <v>1.4387253254113199</v>
          </cell>
          <cell r="D6">
            <v>0.10632728206222</v>
          </cell>
          <cell r="E6">
            <v>2.77112336876043</v>
          </cell>
          <cell r="F6">
            <v>0.60632171251677303</v>
          </cell>
          <cell r="G6">
            <v>2.3728744917270701</v>
          </cell>
          <cell r="H6">
            <v>11.144429001363299</v>
          </cell>
          <cell r="I6">
            <v>3.6690705963456798E-2</v>
          </cell>
        </row>
        <row r="7">
          <cell r="C7">
            <v>1.2563404154848301</v>
          </cell>
          <cell r="D7">
            <v>8.1637498123219895E-2</v>
          </cell>
          <cell r="E7">
            <v>2.4310433328464498</v>
          </cell>
          <cell r="F7">
            <v>0.52890422265189097</v>
          </cell>
          <cell r="G7">
            <v>2.3753646911450699</v>
          </cell>
          <cell r="H7">
            <v>10.2423725986098</v>
          </cell>
          <cell r="I7">
            <v>3.83653893821422E-2</v>
          </cell>
        </row>
        <row r="8">
          <cell r="C8">
            <v>0.79535334972826299</v>
          </cell>
          <cell r="D8">
            <v>0.44300719568382202</v>
          </cell>
          <cell r="E8">
            <v>1.1476995037727</v>
          </cell>
          <cell r="F8">
            <v>0.178594668495098</v>
          </cell>
          <cell r="G8">
            <v>4.4533991771993504</v>
          </cell>
          <cell r="H8">
            <v>184.83268043244499</v>
          </cell>
          <cell r="I8">
            <v>1.4602699599024699E-5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2">
          <cell r="C2">
            <v>-2.1156899611068098</v>
          </cell>
          <cell r="D2">
            <v>-4.9029766179269698</v>
          </cell>
          <cell r="E2">
            <v>0.67159669571333702</v>
          </cell>
          <cell r="F2">
            <v>1.2528641209490601</v>
          </cell>
          <cell r="G2">
            <v>-1.6886826956973999</v>
          </cell>
          <cell r="H2">
            <v>10.1142548945288</v>
          </cell>
          <cell r="I2">
            <v>0.12182289945963599</v>
          </cell>
        </row>
        <row r="3">
          <cell r="C3">
            <v>2.9480659025186999</v>
          </cell>
          <cell r="D3">
            <v>1.30809311967063</v>
          </cell>
          <cell r="E3">
            <v>4.5880386853667803</v>
          </cell>
          <cell r="F3">
            <v>0.73723209394531797</v>
          </cell>
          <cell r="G3">
            <v>3.9988301197551599</v>
          </cell>
          <cell r="H3">
            <v>10.1221354625205</v>
          </cell>
          <cell r="I3">
            <v>2.4629530996663901E-3</v>
          </cell>
        </row>
        <row r="4">
          <cell r="C4">
            <v>5.2142843855174696</v>
          </cell>
          <cell r="D4">
            <v>3.0843436963088502</v>
          </cell>
          <cell r="E4">
            <v>7.34422507472609</v>
          </cell>
          <cell r="F4">
            <v>0.96427989363128197</v>
          </cell>
          <cell r="G4">
            <v>5.4074386699919001</v>
          </cell>
          <cell r="H4">
            <v>10.688339117777501</v>
          </cell>
          <cell r="I4">
            <v>2.36752670844248E-4</v>
          </cell>
        </row>
        <row r="5">
          <cell r="C5">
            <v>5.06375732966145</v>
          </cell>
          <cell r="D5">
            <v>2.10543264299073</v>
          </cell>
          <cell r="E5">
            <v>8.0220820163321598</v>
          </cell>
          <cell r="F5">
            <v>1.33197668969453</v>
          </cell>
          <cell r="G5">
            <v>3.8016861472423402</v>
          </cell>
          <cell r="H5">
            <v>10.2426941822535</v>
          </cell>
          <cell r="I5">
            <v>3.33019316758469E-3</v>
          </cell>
        </row>
        <row r="6">
          <cell r="C6">
            <v>7.3299732847251899</v>
          </cell>
          <cell r="D6">
            <v>3.71011375272934</v>
          </cell>
          <cell r="E6">
            <v>10.949832816721001</v>
          </cell>
          <cell r="F6">
            <v>1.6329226990608301</v>
          </cell>
          <cell r="G6">
            <v>4.4888672862107697</v>
          </cell>
          <cell r="H6">
            <v>10.3920268521652</v>
          </cell>
          <cell r="I6">
            <v>1.0568385904583301E-3</v>
          </cell>
        </row>
        <row r="7">
          <cell r="C7">
            <v>2.2662133061789498</v>
          </cell>
          <cell r="D7">
            <v>0.72494945569991098</v>
          </cell>
          <cell r="E7">
            <v>3.8074771566579901</v>
          </cell>
          <cell r="F7">
            <v>0.69174592571489901</v>
          </cell>
          <cell r="G7">
            <v>3.2760775624907099</v>
          </cell>
          <cell r="H7">
            <v>10.002016633240601</v>
          </cell>
          <cell r="I7">
            <v>8.3419113492021104E-3</v>
          </cell>
        </row>
        <row r="25">
          <cell r="C25">
            <v>2.387</v>
          </cell>
          <cell r="D25">
            <v>1.4515194656289601</v>
          </cell>
          <cell r="E25">
            <v>3.3221349206482498</v>
          </cell>
          <cell r="F25">
            <v>0.41899999999999998</v>
          </cell>
          <cell r="G25">
            <v>5.6920000000000002</v>
          </cell>
          <cell r="H25">
            <v>9.92</v>
          </cell>
          <cell r="I25">
            <v>2.0676316359542201E-4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only_b0"/>
    </sheetNames>
    <sheetDataSet>
      <sheetData sheetId="0">
        <row r="2">
          <cell r="B2">
            <v>-2.26543020886918</v>
          </cell>
          <cell r="C2">
            <v>-5.3981081592246101</v>
          </cell>
          <cell r="D2">
            <v>0.86724774148624395</v>
          </cell>
          <cell r="E2">
            <v>0.85442044681805995</v>
          </cell>
          <cell r="F2">
            <v>-2.6514232159422799</v>
          </cell>
          <cell r="G2">
            <v>2.41487911094814</v>
          </cell>
          <cell r="H2">
            <v>9.6667897512049794E-2</v>
          </cell>
        </row>
        <row r="3">
          <cell r="B3">
            <v>-2.1436051743111699</v>
          </cell>
          <cell r="C3">
            <v>-5.27394563649601</v>
          </cell>
          <cell r="D3">
            <v>0.98673528787367404</v>
          </cell>
          <cell r="E3">
            <v>0.85474550203715405</v>
          </cell>
          <cell r="F3">
            <v>-2.50788704848661</v>
          </cell>
          <cell r="G3">
            <v>2.4185210880141002</v>
          </cell>
          <cell r="H3">
            <v>0.107330529790375</v>
          </cell>
        </row>
        <row r="4">
          <cell r="B4">
            <v>-0.64182890317611196</v>
          </cell>
          <cell r="C4">
            <v>-3.7856174096959601</v>
          </cell>
          <cell r="D4">
            <v>2.5019596033437299</v>
          </cell>
          <cell r="E4">
            <v>0.85286682488730003</v>
          </cell>
          <cell r="F4">
            <v>-0.75255465970425595</v>
          </cell>
          <cell r="G4">
            <v>2.39772520754667</v>
          </cell>
          <cell r="H4">
            <v>0.51865426307668605</v>
          </cell>
        </row>
        <row r="5">
          <cell r="B5">
            <v>0.223665158670071</v>
          </cell>
          <cell r="C5">
            <v>-2.9441300826707599</v>
          </cell>
          <cell r="D5">
            <v>3.3914604000108999</v>
          </cell>
          <cell r="E5">
            <v>0.84958647798085196</v>
          </cell>
          <cell r="F5">
            <v>0.26326355758584902</v>
          </cell>
          <cell r="G5">
            <v>2.36197309447902</v>
          </cell>
          <cell r="H5">
            <v>0.81357777446832502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only_b0"/>
    </sheetNames>
    <sheetDataSet>
      <sheetData sheetId="0">
        <row r="2">
          <cell r="B2">
            <v>3.2424083734709201</v>
          </cell>
          <cell r="C2">
            <v>-0.54292695528651302</v>
          </cell>
          <cell r="D2">
            <v>7.02774370222836</v>
          </cell>
          <cell r="E2">
            <v>1.23093667731537</v>
          </cell>
          <cell r="F2">
            <v>2.6340984335136399</v>
          </cell>
          <cell r="G2">
            <v>3.1953384209530298</v>
          </cell>
          <cell r="H2">
            <v>7.3077808771839406E-2</v>
          </cell>
        </row>
        <row r="3">
          <cell r="B3">
            <v>3.6474441988800899</v>
          </cell>
          <cell r="C3">
            <v>-0.13640460466728299</v>
          </cell>
          <cell r="D3">
            <v>7.4312930024274699</v>
          </cell>
          <cell r="E3">
            <v>1.2313917368198799</v>
          </cell>
          <cell r="F3">
            <v>2.9620502475514101</v>
          </cell>
          <cell r="G3">
            <v>3.2000119256077402</v>
          </cell>
          <cell r="H3">
            <v>5.4840212896594999E-2</v>
          </cell>
        </row>
        <row r="4">
          <cell r="B4">
            <v>4.9610948140404396</v>
          </cell>
          <cell r="C4">
            <v>1.16910001029584</v>
          </cell>
          <cell r="D4">
            <v>8.7530896177850508</v>
          </cell>
          <cell r="E4">
            <v>1.2288684942097701</v>
          </cell>
          <cell r="F4">
            <v>4.03712426302432</v>
          </cell>
          <cell r="G4">
            <v>3.17444626896655</v>
          </cell>
          <cell r="H4">
            <v>2.4563691731616499E-2</v>
          </cell>
        </row>
        <row r="5">
          <cell r="B5">
            <v>7.75313030215107</v>
          </cell>
          <cell r="C5">
            <v>3.9451018875893999</v>
          </cell>
          <cell r="D5">
            <v>11.561158716712701</v>
          </cell>
          <cell r="E5">
            <v>1.22402015432609</v>
          </cell>
          <cell r="F5">
            <v>6.3341524849479898</v>
          </cell>
          <cell r="G5">
            <v>3.12602187053532</v>
          </cell>
          <cell r="H5">
            <v>7.0266870606441201E-3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only_b1"/>
    </sheetNames>
    <sheetDataSet>
      <sheetData sheetId="0">
        <row r="2">
          <cell r="C2">
            <v>0.121825034867324</v>
          </cell>
          <cell r="D2">
            <v>-0.188933112073396</v>
          </cell>
          <cell r="E2">
            <v>0.432583181808045</v>
          </cell>
          <cell r="F2">
            <v>0.15823899241933301</v>
          </cell>
          <cell r="G2">
            <v>0.76987999610417102</v>
          </cell>
          <cell r="H2">
            <v>611.15525903221203</v>
          </cell>
          <cell r="I2">
            <v>0.44166854756242502</v>
          </cell>
        </row>
        <row r="3">
          <cell r="C3">
            <v>1.6236013056984899</v>
          </cell>
          <cell r="D3">
            <v>1.3115827725277101</v>
          </cell>
          <cell r="E3">
            <v>1.93561983886927</v>
          </cell>
          <cell r="F3">
            <v>0.15888087378235699</v>
          </cell>
          <cell r="G3">
            <v>10.2189852500596</v>
          </cell>
          <cell r="H3">
            <v>611.32758190458401</v>
          </cell>
          <cell r="I3">
            <v>9.7155838219225805E-23</v>
          </cell>
        </row>
        <row r="4">
          <cell r="C4">
            <v>2.4890953676723599</v>
          </cell>
          <cell r="D4">
            <v>2.1527924696035399</v>
          </cell>
          <cell r="E4">
            <v>2.82539826574118</v>
          </cell>
          <cell r="F4">
            <v>0.17124902009845999</v>
          </cell>
          <cell r="G4">
            <v>14.534946630592399</v>
          </cell>
          <cell r="H4">
            <v>615.79975374511901</v>
          </cell>
          <cell r="I4">
            <v>2.2879816589249299E-41</v>
          </cell>
        </row>
        <row r="5">
          <cell r="C5">
            <v>1.50177627086968</v>
          </cell>
          <cell r="D5">
            <v>1.1902378446218</v>
          </cell>
          <cell r="E5">
            <v>1.81331469711755</v>
          </cell>
          <cell r="F5">
            <v>0.15863659531351901</v>
          </cell>
          <cell r="G5">
            <v>9.46677068996385</v>
          </cell>
          <cell r="H5">
            <v>611.70385848974399</v>
          </cell>
          <cell r="I5">
            <v>6.1645822268182704E-20</v>
          </cell>
        </row>
        <row r="6">
          <cell r="C6">
            <v>2.3672703329679399</v>
          </cell>
          <cell r="D6">
            <v>2.0304693294845899</v>
          </cell>
          <cell r="E6">
            <v>2.7040713364513</v>
          </cell>
          <cell r="F6">
            <v>0.171503080808797</v>
          </cell>
          <cell r="G6">
            <v>13.803077599562901</v>
          </cell>
          <cell r="H6">
            <v>616.56673731054605</v>
          </cell>
          <cell r="I6">
            <v>5.8411857646804703E-38</v>
          </cell>
        </row>
        <row r="7">
          <cell r="C7">
            <v>0.865494061976541</v>
          </cell>
          <cell r="D7">
            <v>0.53679325048973203</v>
          </cell>
          <cell r="E7">
            <v>1.1941948734633501</v>
          </cell>
          <cell r="F7">
            <v>0.16737722636578201</v>
          </cell>
          <cell r="G7">
            <v>5.1709188924251199</v>
          </cell>
          <cell r="H7">
            <v>614.43851895275202</v>
          </cell>
          <cell r="I7">
            <v>3.1561108069818502E-7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only_b1"/>
    </sheetNames>
    <sheetDataSet>
      <sheetData sheetId="0">
        <row r="2">
          <cell r="C2">
            <v>0.40503582548685102</v>
          </cell>
          <cell r="D2">
            <v>-3.0187990122508598E-2</v>
          </cell>
          <cell r="E2">
            <v>0.84025964109621099</v>
          </cell>
          <cell r="F2">
            <v>0.22162078621946199</v>
          </cell>
          <cell r="G2">
            <v>1.8276075651394901</v>
          </cell>
          <cell r="H2">
            <v>616.05466555235603</v>
          </cell>
          <cell r="I2">
            <v>6.8092015686035595E-2</v>
          </cell>
        </row>
        <row r="3">
          <cell r="C3">
            <v>1.7186864407115801</v>
          </cell>
          <cell r="D3">
            <v>1.28173542430512</v>
          </cell>
          <cell r="E3">
            <v>2.1556374571180501</v>
          </cell>
          <cell r="F3">
            <v>0.222500408320183</v>
          </cell>
          <cell r="G3">
            <v>7.7244192659563904</v>
          </cell>
          <cell r="H3">
            <v>616.21270734720099</v>
          </cell>
          <cell r="I3">
            <v>4.5714540165725702E-14</v>
          </cell>
        </row>
        <row r="4">
          <cell r="C4">
            <v>4.5107219286374303</v>
          </cell>
          <cell r="D4">
            <v>4.0429721432733903</v>
          </cell>
          <cell r="E4">
            <v>4.9784717140014596</v>
          </cell>
          <cell r="F4">
            <v>0.238185649799145</v>
          </cell>
          <cell r="G4">
            <v>18.937840849946902</v>
          </cell>
          <cell r="H4">
            <v>619.06465556537103</v>
          </cell>
          <cell r="I4">
            <v>1.9445664217963E-63</v>
          </cell>
        </row>
        <row r="5">
          <cell r="C5">
            <v>1.31365061523257</v>
          </cell>
          <cell r="D5">
            <v>0.877341070460809</v>
          </cell>
          <cell r="E5">
            <v>1.74996016000433</v>
          </cell>
          <cell r="F5">
            <v>0.22217388182301301</v>
          </cell>
          <cell r="G5">
            <v>5.9127139718387101</v>
          </cell>
          <cell r="H5">
            <v>616.37923871538305</v>
          </cell>
          <cell r="I5">
            <v>5.5760053875402403E-9</v>
          </cell>
        </row>
        <row r="6">
          <cell r="C6">
            <v>4.1056861031877903</v>
          </cell>
          <cell r="D6">
            <v>3.6371756687852099</v>
          </cell>
          <cell r="E6">
            <v>4.5741965375903701</v>
          </cell>
          <cell r="F6">
            <v>0.23857324550992701</v>
          </cell>
          <cell r="G6">
            <v>17.209331643253901</v>
          </cell>
          <cell r="H6">
            <v>619.41071311534097</v>
          </cell>
          <cell r="I6">
            <v>1.5422905521496801E-54</v>
          </cell>
        </row>
        <row r="7">
          <cell r="C7">
            <v>2.7920354879932998</v>
          </cell>
          <cell r="D7">
            <v>2.3349090642400401</v>
          </cell>
          <cell r="E7">
            <v>3.2491619117465702</v>
          </cell>
          <cell r="F7">
            <v>0.23277547846621799</v>
          </cell>
          <cell r="G7">
            <v>11.9945430093853</v>
          </cell>
          <cell r="H7">
            <v>618.26981519641595</v>
          </cell>
          <cell r="I7">
            <v>6.0043603327585801E-30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only_b1"/>
    </sheetNames>
    <sheetDataSet>
      <sheetData sheetId="0">
        <row r="2">
          <cell r="C2">
            <v>0.41167603389401902</v>
          </cell>
          <cell r="D2">
            <v>-3.52571542461031</v>
          </cell>
          <cell r="E2">
            <v>4.3490674923983503</v>
          </cell>
          <cell r="F2">
            <v>2.0049304730628501</v>
          </cell>
          <cell r="G2">
            <v>0.205331825429895</v>
          </cell>
          <cell r="H2">
            <v>610.96815543298101</v>
          </cell>
          <cell r="I2">
            <v>0.83738127271401996</v>
          </cell>
        </row>
        <row r="3">
          <cell r="C3">
            <v>-2.2790898314757602</v>
          </cell>
          <cell r="D3">
            <v>-6.24347229753202</v>
          </cell>
          <cell r="E3">
            <v>1.6852926345804999</v>
          </cell>
          <cell r="F3">
            <v>2.0186796935018698</v>
          </cell>
          <cell r="G3">
            <v>-1.12900022663929</v>
          </cell>
          <cell r="H3">
            <v>611.78132777544101</v>
          </cell>
          <cell r="I3">
            <v>0.25934024176004</v>
          </cell>
        </row>
        <row r="4">
          <cell r="C4">
            <v>-20.9825358833363</v>
          </cell>
          <cell r="D4">
            <v>-25.194861329456199</v>
          </cell>
          <cell r="E4">
            <v>-16.770210437216399</v>
          </cell>
          <cell r="F4">
            <v>2.1448412737092499</v>
          </cell>
          <cell r="G4">
            <v>-9.7827919205645699</v>
          </cell>
          <cell r="H4">
            <v>598.82447117332094</v>
          </cell>
          <cell r="I4">
            <v>4.5704176563710303E-21</v>
          </cell>
        </row>
        <row r="5">
          <cell r="C5">
            <v>-2.6907658599282902</v>
          </cell>
          <cell r="D5">
            <v>-6.6432667084196897</v>
          </cell>
          <cell r="E5">
            <v>1.26173498856309</v>
          </cell>
          <cell r="F5">
            <v>2.0126312326566498</v>
          </cell>
          <cell r="G5">
            <v>-1.33693933407587</v>
          </cell>
          <cell r="H5">
            <v>612.04323789240902</v>
          </cell>
          <cell r="I5">
            <v>0.18173914374859801</v>
          </cell>
        </row>
        <row r="6">
          <cell r="C6">
            <v>-21.394211900256799</v>
          </cell>
          <cell r="D6">
            <v>-25.606549039913201</v>
          </cell>
          <cell r="E6">
            <v>-17.181874760600301</v>
          </cell>
          <cell r="F6">
            <v>2.1448398632424999</v>
          </cell>
          <cell r="G6">
            <v>-9.9747362341138501</v>
          </cell>
          <cell r="H6">
            <v>597.81090334868804</v>
          </cell>
          <cell r="I6">
            <v>8.8572797847035004E-22</v>
          </cell>
        </row>
        <row r="7">
          <cell r="C7">
            <v>-18.703446052286601</v>
          </cell>
          <cell r="D7">
            <v>-22.830969939817798</v>
          </cell>
          <cell r="E7">
            <v>-14.575922164755299</v>
          </cell>
          <cell r="F7">
            <v>2.1017372076343399</v>
          </cell>
          <cell r="G7">
            <v>-8.8990412237782408</v>
          </cell>
          <cell r="H7">
            <v>609.62123399204995</v>
          </cell>
          <cell r="I7">
            <v>6.39550356285835E-18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only_b1"/>
    </sheetNames>
    <sheetDataSet>
      <sheetData sheetId="0">
        <row r="2">
          <cell r="C2">
            <v>-0.37320125103735102</v>
          </cell>
          <cell r="D2">
            <v>-6.1769756520058801</v>
          </cell>
          <cell r="E2">
            <v>5.4305731499311802</v>
          </cell>
          <cell r="F2">
            <v>2.9553179967679499</v>
          </cell>
          <cell r="G2">
            <v>-0.12628125008729901</v>
          </cell>
          <cell r="H2">
            <v>613.08331596124594</v>
          </cell>
          <cell r="I2">
            <v>0.89955069937352095</v>
          </cell>
        </row>
        <row r="3">
          <cell r="C3">
            <v>-2.46345421043705</v>
          </cell>
          <cell r="D3">
            <v>-8.2999697902156804</v>
          </cell>
          <cell r="E3">
            <v>3.3730613693415701</v>
          </cell>
          <cell r="F3">
            <v>2.9719910915272698</v>
          </cell>
          <cell r="G3">
            <v>-0.82889017314352398</v>
          </cell>
          <cell r="H3">
            <v>613.19628569462202</v>
          </cell>
          <cell r="I3">
            <v>0.40748907999484901</v>
          </cell>
        </row>
        <row r="4">
          <cell r="C4">
            <v>-16.787144899812802</v>
          </cell>
          <cell r="D4">
            <v>-23.029999701201501</v>
          </cell>
          <cell r="E4">
            <v>-10.544290098424099</v>
          </cell>
          <cell r="F4">
            <v>3.17892241108345</v>
          </cell>
          <cell r="G4">
            <v>-5.2807658473461698</v>
          </cell>
          <cell r="H4">
            <v>615.23055542333896</v>
          </cell>
          <cell r="I4">
            <v>1.7869365120643699E-7</v>
          </cell>
        </row>
        <row r="5">
          <cell r="C5">
            <v>-2.0902529593466501</v>
          </cell>
          <cell r="D5">
            <v>-7.9188349845815802</v>
          </cell>
          <cell r="E5">
            <v>3.7383290658882702</v>
          </cell>
          <cell r="F5">
            <v>2.9679522098455799</v>
          </cell>
          <cell r="G5">
            <v>-0.70427446655396397</v>
          </cell>
          <cell r="H5">
            <v>613.29398983544297</v>
          </cell>
          <cell r="I5">
            <v>0.48152919263086202</v>
          </cell>
        </row>
        <row r="6">
          <cell r="C6">
            <v>-16.413943648633602</v>
          </cell>
          <cell r="D6">
            <v>-22.667934300932501</v>
          </cell>
          <cell r="E6">
            <v>-10.159952996334701</v>
          </cell>
          <cell r="F6">
            <v>3.18459495486213</v>
          </cell>
          <cell r="G6">
            <v>-5.1541699592198897</v>
          </cell>
          <cell r="H6">
            <v>615.432540556003</v>
          </cell>
          <cell r="I6">
            <v>3.4371558626276199E-7</v>
          </cell>
        </row>
        <row r="7">
          <cell r="C7">
            <v>-14.3236906872283</v>
          </cell>
          <cell r="D7">
            <v>-20.434458973573399</v>
          </cell>
          <cell r="E7">
            <v>-8.2129224008833095</v>
          </cell>
          <cell r="F7">
            <v>3.1116566358557498</v>
          </cell>
          <cell r="G7">
            <v>-4.60323627040846</v>
          </cell>
          <cell r="H7">
            <v>614.62563280602501</v>
          </cell>
          <cell r="I7">
            <v>5.05639154530272E-6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phon_b0"/>
    </sheetNames>
    <sheetDataSet>
      <sheetData sheetId="0">
        <row r="1">
          <cell r="E1" t="str">
            <v>std.error</v>
          </cell>
        </row>
        <row r="2">
          <cell r="B2">
            <v>-2.33476525133297</v>
          </cell>
          <cell r="C2">
            <v>-4.61671876402667</v>
          </cell>
          <cell r="D2">
            <v>-5.2811738639284997E-2</v>
          </cell>
          <cell r="E2">
            <v>0.707999084236697</v>
          </cell>
          <cell r="F2">
            <v>-3.29769529836343</v>
          </cell>
          <cell r="G2">
            <v>2.9343582922432798</v>
          </cell>
          <cell r="H2">
            <v>4.7305860439716303E-2</v>
          </cell>
        </row>
        <row r="3">
          <cell r="B3">
            <v>-2.2252320557365701</v>
          </cell>
          <cell r="C3">
            <v>-4.5055599612283102</v>
          </cell>
          <cell r="D3">
            <v>5.5095849755161901E-2</v>
          </cell>
          <cell r="E3">
            <v>0.70838742595834303</v>
          </cell>
          <cell r="F3">
            <v>-3.1412641927207599</v>
          </cell>
          <cell r="G3">
            <v>2.9407324281576899</v>
          </cell>
          <cell r="H3">
            <v>5.3028451056761301E-2</v>
          </cell>
        </row>
        <row r="4">
          <cell r="B4">
            <v>-1.2644469455390599</v>
          </cell>
          <cell r="C4">
            <v>-3.5475003312728601</v>
          </cell>
          <cell r="D4">
            <v>1.0186064401947199</v>
          </cell>
          <cell r="E4">
            <v>0.70768537330219505</v>
          </cell>
          <cell r="F4">
            <v>-1.7867360175029701</v>
          </cell>
          <cell r="G4">
            <v>2.9297021738272999</v>
          </cell>
          <cell r="H4">
            <v>0.17415068013423199</v>
          </cell>
        </row>
        <row r="5">
          <cell r="B5">
            <v>-0.96658198810346596</v>
          </cell>
          <cell r="C5">
            <v>-3.23492875363694</v>
          </cell>
          <cell r="D5">
            <v>1.3017647774300101</v>
          </cell>
          <cell r="E5">
            <v>0.71102442018415501</v>
          </cell>
          <cell r="F5">
            <v>-1.3594216466617499</v>
          </cell>
          <cell r="G5">
            <v>2.98707357359502</v>
          </cell>
          <cell r="H5">
            <v>0.267536509297434</v>
          </cell>
        </row>
        <row r="6">
          <cell r="B6">
            <v>-2.33476525133297</v>
          </cell>
          <cell r="C6">
            <v>-4.61671876402667</v>
          </cell>
          <cell r="D6">
            <v>-5.2811738639284997E-2</v>
          </cell>
          <cell r="E6">
            <v>0.707999084236697</v>
          </cell>
          <cell r="F6">
            <v>-3.29769529836343</v>
          </cell>
          <cell r="G6">
            <v>2.9343582922432798</v>
          </cell>
          <cell r="H6">
            <v>4.7305860439716303E-2</v>
          </cell>
        </row>
        <row r="7">
          <cell r="B7">
            <v>0.53316395417173801</v>
          </cell>
          <cell r="C7">
            <v>-1.56564631866027</v>
          </cell>
          <cell r="D7">
            <v>2.6319742270037501</v>
          </cell>
          <cell r="E7">
            <v>0.90829040330119104</v>
          </cell>
          <cell r="F7">
            <v>0.58699723374148605</v>
          </cell>
          <cell r="G7">
            <v>7.9071494671193703</v>
          </cell>
          <cell r="H7">
            <v>0.573579147373107</v>
          </cell>
        </row>
        <row r="8">
          <cell r="B8">
            <v>-1.9878104405222601</v>
          </cell>
          <cell r="C8">
            <v>-4.1214184213063998</v>
          </cell>
          <cell r="D8">
            <v>0.14579754026187899</v>
          </cell>
          <cell r="E8">
            <v>0.75930130930786599</v>
          </cell>
          <cell r="F8">
            <v>-2.6179468099880201</v>
          </cell>
          <cell r="G8">
            <v>3.88228814765167</v>
          </cell>
          <cell r="H8">
            <v>6.0736196019466303E-2</v>
          </cell>
        </row>
        <row r="9">
          <cell r="B9">
            <v>-8.9523017736445498E-2</v>
          </cell>
          <cell r="C9">
            <v>-2.28608923199213</v>
          </cell>
          <cell r="D9">
            <v>2.10704319651924</v>
          </cell>
          <cell r="E9">
            <v>0.731974546503807</v>
          </cell>
          <cell r="F9">
            <v>-0.122303457359332</v>
          </cell>
          <cell r="G9">
            <v>3.3533923930426601</v>
          </cell>
          <cell r="H9">
            <v>0.90962714597095595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J41" totalsRowShown="0" headerRowDxfId="151" dataDxfId="149" headerRowBorderDxfId="150" tableBorderDxfId="148" totalsRowBorderDxfId="147">
  <autoFilter ref="A37:J41" xr:uid="{D3980010-2201-43EF-9941-5D34E4A5CF0F}"/>
  <tableColumns count="10">
    <tableColumn id="1" xr3:uid="{48EA7560-AFDA-4976-872C-A62413C27C30}" name="Predictors" dataDxfId="146">
      <calculatedColumnFormula>A31</calculatedColumnFormula>
    </tableColumn>
    <tableColumn id="2" xr3:uid="{B74BAF5A-A8B1-41AC-AA5C-9C7F4D3C00F5}" name="estimate" dataDxfId="145"/>
    <tableColumn id="6" xr3:uid="{25F0D2CD-4553-4F0F-A005-7B069A4DF146}" name="2.5% CI" dataDxfId="144"/>
    <tableColumn id="5" xr3:uid="{5C65DEBD-594B-4030-A893-0F5416AC8463}" name="97.5% CI" dataDxfId="143"/>
    <tableColumn id="4" xr3:uid="{E8CB2113-1504-4E4A-8C69-95B41702801D}" name="std.error" dataDxfId="142"/>
    <tableColumn id="9" xr3:uid="{3685B48B-FD8D-45C1-BDB3-A8E961B16560}" name="z.value" dataDxfId="141"/>
    <tableColumn id="7" xr3:uid="{82530BA9-A214-4E3F-8B7C-1C9D8230702E}" name="df" dataDxfId="140"/>
    <tableColumn id="3" xr3:uid="{13FC0C8F-F83E-4E94-AE8C-72CF30BBE373}" name="p.value" dataDxfId="139"/>
    <tableColumn id="11" xr3:uid="{C53533F8-7533-44F1-90BA-B150BF875299}" name="signif." dataDxfId="138">
      <calculatedColumnFormula>IF(H38&lt;0.001, "p &lt; .001", _xlfn.CONCAT("p = ", REPLACE(ROUND(H38, 3),1,2,".")))</calculatedColumnFormula>
    </tableColumn>
    <tableColumn id="8" xr3:uid="{C1996589-8716-4257-9BC3-42E65902C402}" name="|CI-delta|" dataDxfId="137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J47" totalsRowShown="0" headerRowDxfId="136" dataDxfId="134" headerRowBorderDxfId="135" tableBorderDxfId="133" totalsRowBorderDxfId="132">
  <autoFilter ref="A43:J47" xr:uid="{DE40A492-BBA9-4876-8724-BC64B3994271}"/>
  <tableColumns count="10">
    <tableColumn id="1" xr3:uid="{E34199D2-D5CB-45DC-96B2-AAECCF32344B}" name="Predictors" dataDxfId="131">
      <calculatedColumnFormula>A25</calculatedColumnFormula>
    </tableColumn>
    <tableColumn id="2" xr3:uid="{BF536D58-8825-421A-A286-3483AB4A0DBA}" name="estimate" dataDxfId="130"/>
    <tableColumn id="6" xr3:uid="{51E253F3-5545-4607-87E2-3713F0C79ED0}" name="2.5% CI" dataDxfId="129"/>
    <tableColumn id="5" xr3:uid="{39D9684C-88E4-42B1-822E-8BF560658BA3}" name="97.5% CI" dataDxfId="128"/>
    <tableColumn id="4" xr3:uid="{DBC249E2-0975-4309-BB60-C2B64E67BC66}" name="std.error" dataDxfId="127"/>
    <tableColumn id="9" xr3:uid="{BC78A058-E2DD-4469-A2C7-112329D198FF}" name="z.value" dataDxfId="126"/>
    <tableColumn id="7" xr3:uid="{345088CF-6388-428C-8713-406B42459A71}" name="df" dataDxfId="125"/>
    <tableColumn id="3" xr3:uid="{BF186A60-3668-4E52-B6B6-5FA634C84064}" name="p.value" dataDxfId="124"/>
    <tableColumn id="11" xr3:uid="{2F1FC41D-A1D8-48DD-84A7-299EAAD40F3C}" name="signif." dataDxfId="123">
      <calculatedColumnFormula>IF(H44&lt;0.001, "p &lt; .001", _xlfn.CONCAT("p = ", REPLACE(ROUND(H44, 3),1,2,".")))</calculatedColumnFormula>
    </tableColumn>
    <tableColumn id="8" xr3:uid="{91174BE1-7871-4821-9200-FC6E6061BBAE}" name="|CI-delta|" dataDxfId="122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J28" totalsRowShown="0" headerRowDxfId="121" dataDxfId="119" headerRowBorderDxfId="120" tableBorderDxfId="118" totalsRowBorderDxfId="117">
  <autoFilter ref="A24:J28" xr:uid="{31E79EDA-219D-4CFA-8AA6-6A991A81B772}"/>
  <tableColumns count="10">
    <tableColumn id="1" xr3:uid="{25702B6E-B402-46EF-BB07-89FAEF761F4F}" name="Predictors" dataDxfId="116" totalsRowDxfId="115"/>
    <tableColumn id="2" xr3:uid="{55B41C0A-72EC-4198-AA0E-BDC398F9A9B6}" name="estimate" dataDxfId="114" totalsRowDxfId="113"/>
    <tableColumn id="6" xr3:uid="{6F9FB966-53EF-492A-8818-43E47D6A804A}" name="2.5% CI" dataDxfId="112" totalsRowDxfId="111"/>
    <tableColumn id="5" xr3:uid="{79B4821D-DF78-4C65-827E-002BD888F3B1}" name="97.5% CI" dataDxfId="110" totalsRowDxfId="109"/>
    <tableColumn id="11" xr3:uid="{F482AED5-B0BB-44BF-A8A3-D22BD51F16CA}" name="std.error" dataDxfId="108" totalsRowDxfId="107"/>
    <tableColumn id="9" xr3:uid="{53B8EDFB-2AAD-41CD-93BC-EBF6EF2FA968}" name="z.value" dataDxfId="106" totalsRowDxfId="105"/>
    <tableColumn id="7" xr3:uid="{B0600C54-1844-472B-91DD-0DF3D01FC44F}" name="df" dataDxfId="104" totalsRowDxfId="103"/>
    <tableColumn id="4" xr3:uid="{FFDC2EE2-1EB3-430A-AB8E-0D89238F833E}" name="p.value" dataDxfId="102" totalsRowDxfId="101"/>
    <tableColumn id="12" xr3:uid="{21E87D89-DB44-44E1-BA28-5564E496E5EF}" name="signif." dataDxfId="100" totalsRowDxfId="99">
      <calculatedColumnFormula>IF(H25&lt;0.001, "p &lt; .001", _xlfn.CONCAT("p = ", REPLACE(ROUND(H25, 3),1,2,".")))</calculatedColumnFormula>
    </tableColumn>
    <tableColumn id="8" xr3:uid="{E2CC2F45-52B6-411C-8857-874E710E7E9B}" name="|CI-delta|" dataDxfId="98" totalsRowDxfId="97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J34" totalsRowShown="0" headerRowDxfId="96" dataDxfId="94" headerRowBorderDxfId="95" tableBorderDxfId="93" totalsRowBorderDxfId="92">
  <autoFilter ref="A30:J34" xr:uid="{873E651E-364D-4C9A-AC67-F669F1DC98F7}"/>
  <tableColumns count="10">
    <tableColumn id="1" xr3:uid="{13F39383-83C5-45EF-A3DC-AB048CB47D6B}" name="Predictors" dataDxfId="91">
      <calculatedColumnFormula>A25</calculatedColumnFormula>
    </tableColumn>
    <tableColumn id="2" xr3:uid="{FC01EC59-6FE5-4984-BD8C-56885D9A31B8}" name="estimate" dataDxfId="90"/>
    <tableColumn id="6" xr3:uid="{123C5CEC-9EE4-42F1-8816-CAF425B9D6D8}" name="2.5% CI" dataDxfId="89"/>
    <tableColumn id="5" xr3:uid="{92067161-C954-46A0-8425-5016FA39924E}" name="97.5% CI" dataDxfId="88"/>
    <tableColumn id="11" xr3:uid="{BC66FE52-2DDC-4CAC-9D64-34A38A088B90}" name="std.error" dataDxfId="87"/>
    <tableColumn id="7" xr3:uid="{69D0A743-B567-418D-8648-545E6E11AEE0}" name="z.value" dataDxfId="86"/>
    <tableColumn id="4" xr3:uid="{AB4376D9-BDD9-4A36-92E2-B7D853A42B1C}" name="df" dataDxfId="85"/>
    <tableColumn id="3" xr3:uid="{C7B0BA2B-ACE8-4615-9B5C-C09C24410A89}" name="p.value" dataDxfId="84"/>
    <tableColumn id="10" xr3:uid="{B0F27E57-CE19-4360-9DFD-7B3120590EF3}" name="signif." dataDxfId="83">
      <calculatedColumnFormula>IF(H31&lt;0.001, "p &lt; .001", _xlfn.CONCAT("p = ", REPLACE(ROUND(H31, 3),1,2,".")))</calculatedColumnFormula>
    </tableColumn>
    <tableColumn id="8" xr3:uid="{017AD943-F50D-4872-8482-F88D6E168424}" name="|CI-delta|" dataDxfId="82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81" dataDxfId="79" headerRowBorderDxfId="80" tableBorderDxfId="78" totalsRowBorderDxfId="77">
  <autoFilter ref="A46:F54" xr:uid="{D3980010-2201-43EF-9941-5D34E4A5CF0F}"/>
  <tableColumns count="6">
    <tableColumn id="1" xr3:uid="{48EA7560-AFDA-4976-872C-A62413C27C30}" name="Predictors" dataDxfId="76">
      <calculatedColumnFormula>A36</calculatedColumnFormula>
    </tableColumn>
    <tableColumn id="2" xr3:uid="{B74BAF5A-A8B1-41AC-AA5C-9C7F4D3C00F5}" name="Estimates" dataDxfId="75">
      <calculatedColumnFormula>[9]l_f0_mode_phon_b0!B2</calculatedColumnFormula>
    </tableColumn>
    <tableColumn id="6" xr3:uid="{25F0D2CD-4553-4F0F-A005-7B069A4DF146}" name="2.5% CI" dataDxfId="74">
      <calculatedColumnFormula>[9]l_f0_mode_phon_b0!C2</calculatedColumnFormula>
    </tableColumn>
    <tableColumn id="5" xr3:uid="{5C65DEBD-594B-4030-A893-0F5416AC8463}" name="97.5% CI" dataDxfId="73">
      <calculatedColumnFormula>[9]l_f0_mode_phon_b0!D2</calculatedColumnFormula>
    </tableColumn>
    <tableColumn id="4" xr3:uid="{DBAE124F-2AB7-4917-BD3C-BAC1A6AFFFAF}" name="std.error" dataDxfId="72">
      <calculatedColumnFormula>[9]l_f0_mode_phon_b0!E2</calculatedColumnFormula>
    </tableColumn>
    <tableColumn id="8" xr3:uid="{C1996589-8716-4257-9BC3-42E65902C402}" name="|CI-delta|" dataDxfId="7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70" dataDxfId="68" headerRowBorderDxfId="69" tableBorderDxfId="67" totalsRowBorderDxfId="66">
  <autoFilter ref="A57:F65" xr:uid="{DE40A492-BBA9-4876-8724-BC64B3994271}"/>
  <tableColumns count="6">
    <tableColumn id="1" xr3:uid="{E34199D2-D5CB-45DC-96B2-AAECCF32344B}" name="Predictors" dataDxfId="65">
      <calculatedColumnFormula>A25</calculatedColumnFormula>
    </tableColumn>
    <tableColumn id="2" xr3:uid="{BF536D58-8825-421A-A286-3483AB4A0DBA}" name="Estimates" dataDxfId="64">
      <calculatedColumnFormula>[10]h_f0_mode_phon_b0!B2</calculatedColumnFormula>
    </tableColumn>
    <tableColumn id="6" xr3:uid="{51E253F3-5545-4607-87E2-3713F0C79ED0}" name="2.5% CI" dataDxfId="63">
      <calculatedColumnFormula>[10]h_f0_mode_phon_b0!C2</calculatedColumnFormula>
    </tableColumn>
    <tableColumn id="5" xr3:uid="{39D9684C-88E4-42B1-822E-8BF560658BA3}" name="97.5% CI" dataDxfId="62">
      <calculatedColumnFormula>[10]h_f0_mode_phon_b0!D2</calculatedColumnFormula>
    </tableColumn>
    <tableColumn id="4" xr3:uid="{4F3547A1-CB2A-4E98-A68E-DF4170001DC3}" name="std.error" dataDxfId="61">
      <calculatedColumnFormula>[10]h_f0_mode_phon_b0!E2</calculatedColumnFormula>
    </tableColumn>
    <tableColumn id="8" xr3:uid="{91174BE1-7871-4821-9200-FC6E6061BBAE}" name="|CI-delta|" dataDxfId="6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59" dataDxfId="57" headerRowBorderDxfId="58" tableBorderDxfId="56" totalsRowBorderDxfId="55">
  <autoFilter ref="A24:F32" xr:uid="{31E79EDA-219D-4CFA-8AA6-6A991A81B772}"/>
  <tableColumns count="6">
    <tableColumn id="1" xr3:uid="{25702B6E-B402-46EF-BB07-89FAEF761F4F}" name="Predictors" dataDxfId="54"/>
    <tableColumn id="2" xr3:uid="{55B41C0A-72EC-4198-AA0E-BDC398F9A9B6}" name="Estimates" dataDxfId="53">
      <calculatedColumnFormula>[11]l_t_mode_phon_b0!B2</calculatedColumnFormula>
    </tableColumn>
    <tableColumn id="6" xr3:uid="{6F9FB966-53EF-492A-8818-43E47D6A804A}" name="2.5% CI" dataDxfId="52">
      <calculatedColumnFormula>[11]l_t_mode_phon_b0!C2</calculatedColumnFormula>
    </tableColumn>
    <tableColumn id="5" xr3:uid="{79B4821D-DF78-4C65-827E-002BD888F3B1}" name="97.5% CI" dataDxfId="51">
      <calculatedColumnFormula>[11]l_t_mode_phon_b0!D2</calculatedColumnFormula>
    </tableColumn>
    <tableColumn id="7" xr3:uid="{01175348-29DC-4F27-B480-262E1C115CFD}" name="std.error" dataDxfId="50">
      <calculatedColumnFormula>[11]l_t_mode_phon_b0!E2</calculatedColumnFormula>
    </tableColumn>
    <tableColumn id="8" xr3:uid="{E2CC2F45-52B6-411C-8857-874E710E7E9B}" name="|CI-delta|" dataDxfId="4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48" dataDxfId="46" headerRowBorderDxfId="47" tableBorderDxfId="45" totalsRowBorderDxfId="44">
  <autoFilter ref="A35:F43" xr:uid="{873E651E-364D-4C9A-AC67-F669F1DC98F7}"/>
  <tableColumns count="6">
    <tableColumn id="1" xr3:uid="{13F39383-83C5-45EF-A3DC-AB048CB47D6B}" name="Predictors" dataDxfId="43">
      <calculatedColumnFormula>A25</calculatedColumnFormula>
    </tableColumn>
    <tableColumn id="2" xr3:uid="{FC01EC59-6FE5-4984-BD8C-56885D9A31B8}" name="Estimates" dataDxfId="42">
      <calculatedColumnFormula>[12]h_t_mode_phon_b0!B2</calculatedColumnFormula>
    </tableColumn>
    <tableColumn id="6" xr3:uid="{123C5CEC-9EE4-42F1-8816-CAF425B9D6D8}" name="2.5% CI" dataDxfId="41">
      <calculatedColumnFormula>[12]h_t_mode_phon_b0!C2</calculatedColumnFormula>
    </tableColumn>
    <tableColumn id="5" xr3:uid="{92067161-C954-46A0-8425-5016FA39924E}" name="97.5% CI" dataDxfId="40">
      <calculatedColumnFormula>[12]h_t_mode_phon_b0!D2</calculatedColumnFormula>
    </tableColumn>
    <tableColumn id="4" xr3:uid="{EE36E7A7-1D0E-40E4-B2DF-C9C6E2F96C9B}" name="std.error" dataDxfId="39">
      <calculatedColumnFormula>[12]h_t_mode_phon_b0!E2</calculatedColumnFormula>
    </tableColumn>
    <tableColumn id="8" xr3:uid="{017AD943-F50D-4872-8482-F88D6E168424}" name="|CI-delta|" dataDxfId="38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U47"/>
  <sheetViews>
    <sheetView showGridLines="0" zoomScale="111" zoomScaleNormal="111" zoomScaleSheetLayoutView="55" workbookViewId="0">
      <selection activeCell="G23" sqref="G23"/>
    </sheetView>
  </sheetViews>
  <sheetFormatPr defaultColWidth="8.88671875" defaultRowHeight="14.4" x14ac:dyDescent="0.3"/>
  <cols>
    <col min="1" max="1" width="17.109375" style="14" customWidth="1"/>
    <col min="2" max="5" width="11.88671875" style="51" customWidth="1"/>
    <col min="6" max="7" width="11.88671875" style="14" customWidth="1"/>
    <col min="8" max="10" width="11.88671875" style="49" customWidth="1"/>
    <col min="11" max="11" width="11.88671875" style="173" customWidth="1"/>
    <col min="12" max="12" width="11.5546875" style="50" bestFit="1" customWidth="1"/>
    <col min="13" max="13" width="12" style="14" bestFit="1" customWidth="1"/>
    <col min="14" max="14" width="10.109375" style="14" bestFit="1" customWidth="1"/>
    <col min="15" max="15" width="6" style="14" bestFit="1" customWidth="1"/>
    <col min="16" max="16" width="10.44140625" style="14" bestFit="1" customWidth="1"/>
    <col min="17" max="17" width="12.44140625" style="14" bestFit="1" customWidth="1"/>
    <col min="18" max="18" width="9.109375" style="14" bestFit="1" customWidth="1"/>
    <col min="19" max="19" width="12.6640625" style="14" bestFit="1" customWidth="1"/>
    <col min="20" max="20" width="10.44140625" style="14" bestFit="1" customWidth="1"/>
    <col min="21" max="21" width="11.5546875" style="14" bestFit="1" customWidth="1"/>
    <col min="22" max="22" width="14.33203125" style="14" bestFit="1" customWidth="1"/>
    <col min="23" max="23" width="12.33203125" style="14" customWidth="1"/>
    <col min="24" max="24" width="12.6640625" style="49" bestFit="1" customWidth="1"/>
    <col min="25" max="25" width="12.6640625" style="14" bestFit="1" customWidth="1"/>
    <col min="26" max="26" width="12" style="14" bestFit="1" customWidth="1"/>
    <col min="27" max="27" width="12.6640625" style="14" bestFit="1" customWidth="1"/>
    <col min="28" max="28" width="12" style="14" customWidth="1"/>
    <col min="29" max="29" width="13" style="14" customWidth="1"/>
    <col min="30" max="16384" width="8.88671875" style="14"/>
  </cols>
  <sheetData>
    <row r="1" spans="1:21" s="120" customFormat="1" ht="24" customHeight="1" x14ac:dyDescent="0.3">
      <c r="A1" s="275" t="s">
        <v>49</v>
      </c>
      <c r="B1" s="275"/>
      <c r="C1" s="275"/>
      <c r="D1" s="275"/>
      <c r="E1" s="275"/>
      <c r="F1" s="275"/>
      <c r="G1" s="275"/>
      <c r="H1" s="275"/>
      <c r="I1" s="275"/>
      <c r="J1" s="275"/>
      <c r="K1" s="166"/>
      <c r="L1" s="167"/>
    </row>
    <row r="2" spans="1:21" s="112" customFormat="1" ht="15.75" customHeight="1" thickBot="1" x14ac:dyDescent="0.35">
      <c r="A2" s="89" t="str">
        <f>A25</f>
        <v>MDC</v>
      </c>
      <c r="B2" s="89" t="s">
        <v>30</v>
      </c>
      <c r="C2" s="89" t="str">
        <f t="shared" ref="C2:H2" si="0">C$24</f>
        <v>2.5% CI</v>
      </c>
      <c r="D2" s="89" t="str">
        <f t="shared" si="0"/>
        <v>97.5% CI</v>
      </c>
      <c r="E2" s="89" t="str">
        <f t="shared" si="0"/>
        <v>std.error</v>
      </c>
      <c r="F2" s="89" t="str">
        <f t="shared" si="0"/>
        <v>z.value</v>
      </c>
      <c r="G2" s="89" t="str">
        <f t="shared" si="0"/>
        <v>df</v>
      </c>
      <c r="H2" s="168" t="str">
        <f t="shared" si="0"/>
        <v>p.value</v>
      </c>
      <c r="I2" s="168" t="str">
        <f>I$24</f>
        <v>signif.</v>
      </c>
      <c r="J2" s="113"/>
      <c r="K2" s="113"/>
      <c r="L2" s="113"/>
    </row>
    <row r="3" spans="1:21" s="112" customFormat="1" ht="15.75" customHeight="1" thickTop="1" x14ac:dyDescent="0.3">
      <c r="A3" s="92" t="s">
        <v>82</v>
      </c>
      <c r="B3" s="93">
        <f t="shared" ref="B3:G3" si="1">B38</f>
        <v>-2.26543020886918</v>
      </c>
      <c r="C3" s="93">
        <f t="shared" si="1"/>
        <v>-5.3981081592246101</v>
      </c>
      <c r="D3" s="93">
        <f t="shared" si="1"/>
        <v>0.86724774148624395</v>
      </c>
      <c r="E3" s="92">
        <f t="shared" si="1"/>
        <v>0.85442044681805995</v>
      </c>
      <c r="F3" s="92">
        <f t="shared" si="1"/>
        <v>-2.6514232159422799</v>
      </c>
      <c r="G3" s="92">
        <f t="shared" si="1"/>
        <v>2.41487911094814</v>
      </c>
      <c r="H3" s="169" t="str">
        <f>I3</f>
        <v>p &lt; .001</v>
      </c>
      <c r="I3" s="170" t="str">
        <f>I25</f>
        <v>p &lt; .001</v>
      </c>
      <c r="J3" s="113"/>
      <c r="K3" s="113"/>
      <c r="L3" s="113"/>
    </row>
    <row r="4" spans="1:21" s="112" customFormat="1" ht="15.75" customHeight="1" x14ac:dyDescent="0.3">
      <c r="A4" s="94" t="s">
        <v>83</v>
      </c>
      <c r="B4" s="94">
        <f t="shared" ref="B4:G4" si="2">B44</f>
        <v>3.2424083734709201</v>
      </c>
      <c r="C4" s="94">
        <f t="shared" si="2"/>
        <v>-0.54292695528651302</v>
      </c>
      <c r="D4" s="94">
        <f t="shared" si="2"/>
        <v>7.02774370222836</v>
      </c>
      <c r="E4" s="95">
        <f t="shared" si="2"/>
        <v>1.23093667731537</v>
      </c>
      <c r="F4" s="95">
        <f t="shared" si="2"/>
        <v>2.6340984335136399</v>
      </c>
      <c r="G4" s="95">
        <f t="shared" si="2"/>
        <v>3.1953384209530298</v>
      </c>
      <c r="H4" s="169" t="str">
        <f t="shared" ref="H4:H21" si="3">I4</f>
        <v>p &lt; .001</v>
      </c>
      <c r="I4" s="170" t="str">
        <f t="shared" ref="I4:I6" si="4">I26</f>
        <v>p &lt; .001</v>
      </c>
      <c r="J4" s="113"/>
      <c r="K4" s="113"/>
      <c r="L4" s="113"/>
    </row>
    <row r="5" spans="1:21" s="112" customFormat="1" ht="15.75" customHeight="1" x14ac:dyDescent="0.3">
      <c r="A5" s="96" t="s">
        <v>34</v>
      </c>
      <c r="B5" s="96">
        <f t="shared" ref="B5:G5" si="5">B25</f>
        <v>90.441608895113404</v>
      </c>
      <c r="C5" s="96">
        <f t="shared" si="5"/>
        <v>73.648794542029705</v>
      </c>
      <c r="D5" s="96">
        <f t="shared" si="5"/>
        <v>107.234423248197</v>
      </c>
      <c r="E5" s="94">
        <f t="shared" si="5"/>
        <v>7.5326424159679704</v>
      </c>
      <c r="F5" s="95">
        <f t="shared" si="5"/>
        <v>12.006624488558201</v>
      </c>
      <c r="G5" s="95">
        <f t="shared" si="5"/>
        <v>9.9604354970525293</v>
      </c>
      <c r="H5" s="169" t="str">
        <f t="shared" si="3"/>
        <v>p &lt; .001</v>
      </c>
      <c r="I5" s="170" t="str">
        <f t="shared" si="4"/>
        <v>p &lt; .001</v>
      </c>
      <c r="J5" s="113"/>
      <c r="K5" s="113"/>
      <c r="L5" s="113"/>
    </row>
    <row r="6" spans="1:21" s="112" customFormat="1" ht="15.75" customHeight="1" x14ac:dyDescent="0.3">
      <c r="A6" s="96" t="s">
        <v>33</v>
      </c>
      <c r="B6" s="96">
        <f t="shared" ref="B6:G6" si="6">B31</f>
        <v>294.20861375475403</v>
      </c>
      <c r="C6" s="96">
        <f t="shared" si="6"/>
        <v>213.45319593610699</v>
      </c>
      <c r="D6" s="96">
        <f t="shared" si="6"/>
        <v>374.96403157340097</v>
      </c>
      <c r="E6" s="94">
        <f t="shared" si="6"/>
        <v>30.732478984075001</v>
      </c>
      <c r="F6" s="95">
        <f t="shared" si="6"/>
        <v>9.5732145105250801</v>
      </c>
      <c r="G6" s="95">
        <f t="shared" si="6"/>
        <v>4.6618503184810001</v>
      </c>
      <c r="H6" s="169" t="str">
        <f t="shared" si="3"/>
        <v>p &lt; .001</v>
      </c>
      <c r="I6" s="170" t="str">
        <f t="shared" si="4"/>
        <v>p &lt; .001</v>
      </c>
      <c r="J6" s="113"/>
      <c r="K6" s="113"/>
      <c r="L6" s="113"/>
    </row>
    <row r="7" spans="1:21" s="112" customFormat="1" ht="15.75" customHeight="1" thickBot="1" x14ac:dyDescent="0.35">
      <c r="A7" s="97" t="str">
        <f>A26</f>
        <v>MWH</v>
      </c>
      <c r="B7" s="97" t="s">
        <v>30</v>
      </c>
      <c r="C7" s="97" t="str">
        <f t="shared" ref="C7:H7" si="7">C$24</f>
        <v>2.5% CI</v>
      </c>
      <c r="D7" s="97" t="str">
        <f t="shared" si="7"/>
        <v>97.5% CI</v>
      </c>
      <c r="E7" s="97" t="str">
        <f t="shared" si="7"/>
        <v>std.error</v>
      </c>
      <c r="F7" s="97" t="str">
        <f t="shared" si="7"/>
        <v>z.value</v>
      </c>
      <c r="G7" s="97" t="str">
        <f t="shared" si="7"/>
        <v>df</v>
      </c>
      <c r="H7" s="171" t="str">
        <f t="shared" si="7"/>
        <v>p.value</v>
      </c>
      <c r="I7" s="171" t="str">
        <f>I$24</f>
        <v>signif.</v>
      </c>
      <c r="J7" s="113"/>
      <c r="K7" s="113"/>
      <c r="L7" s="113"/>
    </row>
    <row r="8" spans="1:21" s="112" customFormat="1" ht="15.75" customHeight="1" x14ac:dyDescent="0.3">
      <c r="A8" s="92" t="s">
        <v>82</v>
      </c>
      <c r="B8" s="93">
        <f t="shared" ref="B8:G8" si="8">B39</f>
        <v>-2.1436051743111699</v>
      </c>
      <c r="C8" s="93">
        <f t="shared" si="8"/>
        <v>-5.27394563649601</v>
      </c>
      <c r="D8" s="93">
        <f t="shared" si="8"/>
        <v>0.98673528787367404</v>
      </c>
      <c r="E8" s="92">
        <f t="shared" si="8"/>
        <v>0.85474550203715405</v>
      </c>
      <c r="F8" s="92">
        <f t="shared" si="8"/>
        <v>-2.50788704848661</v>
      </c>
      <c r="G8" s="92">
        <f t="shared" si="8"/>
        <v>2.4185210880141002</v>
      </c>
      <c r="H8" s="169" t="str">
        <f t="shared" si="3"/>
        <v>p &lt; .001</v>
      </c>
      <c r="I8" s="170" t="str">
        <f>I31</f>
        <v>p &lt; .001</v>
      </c>
      <c r="J8" s="113"/>
      <c r="K8" s="113"/>
      <c r="L8" s="113"/>
    </row>
    <row r="9" spans="1:21" s="112" customFormat="1" ht="15.75" customHeight="1" x14ac:dyDescent="0.3">
      <c r="A9" s="94" t="s">
        <v>83</v>
      </c>
      <c r="B9" s="94">
        <f t="shared" ref="B9:G9" si="9">B45</f>
        <v>3.6474441988800899</v>
      </c>
      <c r="C9" s="94">
        <f t="shared" si="9"/>
        <v>-0.13640460466728299</v>
      </c>
      <c r="D9" s="94">
        <f t="shared" si="9"/>
        <v>7.4312930024274699</v>
      </c>
      <c r="E9" s="95">
        <f t="shared" si="9"/>
        <v>1.2313917368198799</v>
      </c>
      <c r="F9" s="95">
        <f t="shared" si="9"/>
        <v>2.9620502475514101</v>
      </c>
      <c r="G9" s="95">
        <f t="shared" si="9"/>
        <v>3.2000119256077402</v>
      </c>
      <c r="H9" s="169" t="str">
        <f t="shared" si="3"/>
        <v>p &lt; .001</v>
      </c>
      <c r="I9" s="170" t="str">
        <f t="shared" ref="I9:I11" si="10">I32</f>
        <v>p &lt; .001</v>
      </c>
      <c r="J9" s="113"/>
      <c r="K9" s="113"/>
      <c r="L9" s="113"/>
    </row>
    <row r="10" spans="1:21" s="112" customFormat="1" ht="15.75" customHeight="1" x14ac:dyDescent="0.3">
      <c r="A10" s="96" t="s">
        <v>34</v>
      </c>
      <c r="B10" s="96">
        <f t="shared" ref="B10:G10" si="11">B26</f>
        <v>90.853284894580298</v>
      </c>
      <c r="C10" s="96">
        <f t="shared" si="11"/>
        <v>74.054277437608306</v>
      </c>
      <c r="D10" s="96">
        <f t="shared" si="11"/>
        <v>107.65229235155201</v>
      </c>
      <c r="E10" s="94">
        <f t="shared" si="11"/>
        <v>7.5380973516491299</v>
      </c>
      <c r="F10" s="95">
        <f t="shared" si="11"/>
        <v>12.052548628163301</v>
      </c>
      <c r="G10" s="95">
        <f t="shared" si="11"/>
        <v>9.9864924694440997</v>
      </c>
      <c r="H10" s="169" t="str">
        <f t="shared" si="3"/>
        <v>p &lt; .001</v>
      </c>
      <c r="I10" s="170" t="str">
        <f t="shared" si="10"/>
        <v>p &lt; .001</v>
      </c>
      <c r="J10" s="113"/>
      <c r="K10" s="113"/>
      <c r="L10" s="113"/>
    </row>
    <row r="11" spans="1:21" s="112" customFormat="1" ht="15.75" customHeight="1" x14ac:dyDescent="0.3">
      <c r="A11" s="96" t="s">
        <v>33</v>
      </c>
      <c r="B11" s="96">
        <f t="shared" ref="B11:G11" si="12">B32</f>
        <v>293.83541250289602</v>
      </c>
      <c r="C11" s="96">
        <f t="shared" si="12"/>
        <v>213.08268446591799</v>
      </c>
      <c r="D11" s="96">
        <f t="shared" si="12"/>
        <v>374.58814053987402</v>
      </c>
      <c r="E11" s="94">
        <f t="shared" si="12"/>
        <v>30.735874587934401</v>
      </c>
      <c r="F11" s="95">
        <f t="shared" si="12"/>
        <v>9.5600146877955794</v>
      </c>
      <c r="G11" s="95">
        <f t="shared" si="12"/>
        <v>4.66390002851292</v>
      </c>
      <c r="H11" s="169" t="str">
        <f t="shared" si="3"/>
        <v>p &lt; .001</v>
      </c>
      <c r="I11" s="170" t="str">
        <f t="shared" si="10"/>
        <v>p &lt; .001</v>
      </c>
      <c r="J11" s="172"/>
      <c r="K11" s="113"/>
      <c r="L11" s="113"/>
      <c r="U11" s="113"/>
    </row>
    <row r="12" spans="1:21" s="112" customFormat="1" ht="15.75" customHeight="1" thickBot="1" x14ac:dyDescent="0.35">
      <c r="A12" s="97" t="str">
        <f>A27</f>
        <v>MYN</v>
      </c>
      <c r="B12" s="97" t="s">
        <v>30</v>
      </c>
      <c r="C12" s="97" t="str">
        <f t="shared" ref="C12:H12" si="13">C$24</f>
        <v>2.5% CI</v>
      </c>
      <c r="D12" s="97" t="str">
        <f t="shared" si="13"/>
        <v>97.5% CI</v>
      </c>
      <c r="E12" s="97" t="str">
        <f t="shared" si="13"/>
        <v>std.error</v>
      </c>
      <c r="F12" s="97" t="str">
        <f t="shared" si="13"/>
        <v>z.value</v>
      </c>
      <c r="G12" s="97" t="str">
        <f t="shared" si="13"/>
        <v>df</v>
      </c>
      <c r="H12" s="171" t="str">
        <f t="shared" si="13"/>
        <v>p.value</v>
      </c>
      <c r="I12" s="171" t="str">
        <f>I$24</f>
        <v>signif.</v>
      </c>
      <c r="J12" s="172"/>
      <c r="K12" s="113"/>
      <c r="L12" s="113"/>
      <c r="U12" s="113"/>
    </row>
    <row r="13" spans="1:21" s="112" customFormat="1" ht="15.75" customHeight="1" x14ac:dyDescent="0.3">
      <c r="A13" s="92" t="s">
        <v>82</v>
      </c>
      <c r="B13" s="93">
        <f t="shared" ref="B13:G13" si="14">B40</f>
        <v>-0.64182890317611196</v>
      </c>
      <c r="C13" s="93">
        <f t="shared" si="14"/>
        <v>-3.7856174096959601</v>
      </c>
      <c r="D13" s="93">
        <f t="shared" si="14"/>
        <v>2.5019596033437299</v>
      </c>
      <c r="E13" s="92">
        <f t="shared" si="14"/>
        <v>0.85286682488730003</v>
      </c>
      <c r="F13" s="92">
        <f t="shared" si="14"/>
        <v>-0.75255465970425595</v>
      </c>
      <c r="G13" s="92">
        <f t="shared" si="14"/>
        <v>2.39772520754667</v>
      </c>
      <c r="H13" s="169" t="str">
        <f t="shared" si="3"/>
        <v>p = .097</v>
      </c>
      <c r="I13" s="170" t="str">
        <f>I38</f>
        <v>p = .097</v>
      </c>
      <c r="J13" s="172"/>
      <c r="K13" s="113"/>
      <c r="L13" s="113"/>
      <c r="U13" s="113"/>
    </row>
    <row r="14" spans="1:21" s="112" customFormat="1" ht="15.75" customHeight="1" x14ac:dyDescent="0.3">
      <c r="A14" s="94" t="s">
        <v>83</v>
      </c>
      <c r="B14" s="94">
        <f t="shared" ref="B14:G14" si="15">B46</f>
        <v>4.9610948140404396</v>
      </c>
      <c r="C14" s="94">
        <f t="shared" si="15"/>
        <v>1.16910001029584</v>
      </c>
      <c r="D14" s="94">
        <f t="shared" si="15"/>
        <v>8.7530896177850508</v>
      </c>
      <c r="E14" s="95">
        <f t="shared" si="15"/>
        <v>1.2288684942097701</v>
      </c>
      <c r="F14" s="95">
        <f t="shared" si="15"/>
        <v>4.03712426302432</v>
      </c>
      <c r="G14" s="95">
        <f t="shared" si="15"/>
        <v>3.17444626896655</v>
      </c>
      <c r="H14" s="169" t="str">
        <f t="shared" si="3"/>
        <v>p = .107</v>
      </c>
      <c r="I14" s="170" t="str">
        <f t="shared" ref="I14:I16" si="16">I39</f>
        <v>p = .107</v>
      </c>
      <c r="J14" s="172"/>
      <c r="K14" s="113"/>
      <c r="L14" s="113"/>
      <c r="U14" s="113"/>
    </row>
    <row r="15" spans="1:21" s="112" customFormat="1" ht="15.75" customHeight="1" x14ac:dyDescent="0.3">
      <c r="A15" s="96" t="s">
        <v>34</v>
      </c>
      <c r="B15" s="96">
        <f t="shared" ref="B15:G15" si="17">B27</f>
        <v>88.162519064654504</v>
      </c>
      <c r="C15" s="96">
        <f t="shared" si="17"/>
        <v>71.400172117514998</v>
      </c>
      <c r="D15" s="96">
        <f t="shared" si="17"/>
        <v>104.924866011793</v>
      </c>
      <c r="E15" s="94">
        <f t="shared" si="17"/>
        <v>7.5083778569353798</v>
      </c>
      <c r="F15" s="95">
        <f t="shared" si="17"/>
        <v>11.7418862961485</v>
      </c>
      <c r="G15" s="95">
        <f t="shared" si="17"/>
        <v>9.8583590257464806</v>
      </c>
      <c r="H15" s="169" t="str">
        <f t="shared" si="3"/>
        <v>p = .519</v>
      </c>
      <c r="I15" s="170" t="str">
        <f t="shared" si="16"/>
        <v>p = .519</v>
      </c>
      <c r="J15" s="172"/>
      <c r="K15" s="113"/>
      <c r="L15" s="113"/>
      <c r="U15" s="113"/>
    </row>
    <row r="16" spans="1:21" s="112" customFormat="1" ht="15.75" customHeight="1" x14ac:dyDescent="0.3">
      <c r="A16" s="96" t="s">
        <v>33</v>
      </c>
      <c r="B16" s="96">
        <f t="shared" ref="B16:G16" si="18">B28</f>
        <v>69.459073012174798</v>
      </c>
      <c r="C16" s="96">
        <f t="shared" si="18"/>
        <v>52.7726084668003</v>
      </c>
      <c r="D16" s="96">
        <f t="shared" si="18"/>
        <v>86.145537557549204</v>
      </c>
      <c r="E16" s="94">
        <f t="shared" si="18"/>
        <v>7.4469897238990397</v>
      </c>
      <c r="F16" s="95">
        <f t="shared" si="18"/>
        <v>9.3271342632937007</v>
      </c>
      <c r="G16" s="95">
        <f t="shared" si="18"/>
        <v>9.6026624901658799</v>
      </c>
      <c r="H16" s="169" t="str">
        <f t="shared" si="3"/>
        <v>p = .814</v>
      </c>
      <c r="I16" s="170" t="str">
        <f t="shared" si="16"/>
        <v>p = .814</v>
      </c>
      <c r="J16" s="172"/>
      <c r="K16" s="113"/>
      <c r="L16" s="113"/>
      <c r="U16" s="113"/>
    </row>
    <row r="17" spans="1:47" s="112" customFormat="1" ht="15.75" customHeight="1" thickBot="1" x14ac:dyDescent="0.35">
      <c r="A17" s="97" t="str">
        <f>A33</f>
        <v>MYN</v>
      </c>
      <c r="B17" s="97" t="s">
        <v>30</v>
      </c>
      <c r="C17" s="97" t="str">
        <f t="shared" ref="C17:H17" si="19">C$24</f>
        <v>2.5% CI</v>
      </c>
      <c r="D17" s="97" t="str">
        <f t="shared" si="19"/>
        <v>97.5% CI</v>
      </c>
      <c r="E17" s="97" t="str">
        <f t="shared" si="19"/>
        <v>std.error</v>
      </c>
      <c r="F17" s="97" t="str">
        <f t="shared" si="19"/>
        <v>z.value</v>
      </c>
      <c r="G17" s="97" t="str">
        <f t="shared" si="19"/>
        <v>df</v>
      </c>
      <c r="H17" s="171" t="str">
        <f t="shared" si="19"/>
        <v>p.value</v>
      </c>
      <c r="I17" s="171" t="str">
        <f>I$24</f>
        <v>signif.</v>
      </c>
      <c r="J17" s="172"/>
      <c r="K17" s="113"/>
      <c r="L17" s="113"/>
      <c r="U17" s="113"/>
    </row>
    <row r="18" spans="1:47" s="112" customFormat="1" ht="15.75" customHeight="1" x14ac:dyDescent="0.3">
      <c r="A18" s="92" t="s">
        <v>82</v>
      </c>
      <c r="B18" s="93">
        <f t="shared" ref="B18:G18" si="20">B41</f>
        <v>0.223665158670071</v>
      </c>
      <c r="C18" s="93">
        <f t="shared" si="20"/>
        <v>-2.9441300826707599</v>
      </c>
      <c r="D18" s="93">
        <f t="shared" si="20"/>
        <v>3.3914604000108999</v>
      </c>
      <c r="E18" s="92">
        <f t="shared" si="20"/>
        <v>0.84958647798085196</v>
      </c>
      <c r="F18" s="92">
        <f t="shared" si="20"/>
        <v>0.26326355758584902</v>
      </c>
      <c r="G18" s="92">
        <f t="shared" si="20"/>
        <v>2.36197309447902</v>
      </c>
      <c r="H18" s="169" t="str">
        <f t="shared" si="3"/>
        <v>p = .073</v>
      </c>
      <c r="I18" s="170" t="str">
        <f>I44</f>
        <v>p = .073</v>
      </c>
      <c r="J18" s="172"/>
      <c r="K18" s="113"/>
      <c r="L18" s="113"/>
      <c r="U18" s="113"/>
    </row>
    <row r="19" spans="1:47" s="112" customFormat="1" ht="15.75" customHeight="1" x14ac:dyDescent="0.3">
      <c r="A19" s="94" t="s">
        <v>83</v>
      </c>
      <c r="B19" s="94">
        <f t="shared" ref="B19:G19" si="21">B47</f>
        <v>7.75313030215107</v>
      </c>
      <c r="C19" s="94">
        <f t="shared" si="21"/>
        <v>3.9451018875893999</v>
      </c>
      <c r="D19" s="94">
        <f t="shared" si="21"/>
        <v>11.561158716712701</v>
      </c>
      <c r="E19" s="95">
        <f t="shared" si="21"/>
        <v>1.22402015432609</v>
      </c>
      <c r="F19" s="95">
        <f t="shared" si="21"/>
        <v>6.3341524849479898</v>
      </c>
      <c r="G19" s="95">
        <f t="shared" si="21"/>
        <v>3.12602187053532</v>
      </c>
      <c r="H19" s="169" t="str">
        <f t="shared" si="3"/>
        <v>p = .055</v>
      </c>
      <c r="I19" s="170" t="str">
        <f t="shared" ref="I19:I21" si="22">I45</f>
        <v>p = .055</v>
      </c>
      <c r="J19" s="172"/>
      <c r="K19" s="113"/>
      <c r="L19" s="113"/>
      <c r="U19" s="113"/>
    </row>
    <row r="20" spans="1:47" s="112" customFormat="1" ht="15.75" customHeight="1" x14ac:dyDescent="0.3">
      <c r="A20" s="96" t="s">
        <v>34</v>
      </c>
      <c r="B20" s="96">
        <f t="shared" ref="B20:G20" si="23">B28</f>
        <v>69.459073012174798</v>
      </c>
      <c r="C20" s="96">
        <f t="shared" si="23"/>
        <v>52.7726084668003</v>
      </c>
      <c r="D20" s="96">
        <f t="shared" si="23"/>
        <v>86.145537557549204</v>
      </c>
      <c r="E20" s="94">
        <f t="shared" si="23"/>
        <v>7.4469897238990397</v>
      </c>
      <c r="F20" s="95">
        <f t="shared" si="23"/>
        <v>9.3271342632937007</v>
      </c>
      <c r="G20" s="95">
        <f t="shared" si="23"/>
        <v>9.6026624901658799</v>
      </c>
      <c r="H20" s="169" t="str">
        <f t="shared" si="3"/>
        <v>p = .025</v>
      </c>
      <c r="I20" s="170" t="str">
        <f t="shared" si="22"/>
        <v>p = .025</v>
      </c>
      <c r="J20" s="172"/>
      <c r="K20" s="113"/>
      <c r="L20" s="113"/>
      <c r="U20" s="113"/>
    </row>
    <row r="21" spans="1:47" s="112" customFormat="1" ht="15.75" customHeight="1" x14ac:dyDescent="0.3">
      <c r="A21" s="96" t="s">
        <v>33</v>
      </c>
      <c r="B21" s="96">
        <f t="shared" ref="B21:G21" si="24">B34</f>
        <v>277.42146884331697</v>
      </c>
      <c r="C21" s="96">
        <f t="shared" si="24"/>
        <v>196.62652881327099</v>
      </c>
      <c r="D21" s="96">
        <f t="shared" si="24"/>
        <v>358.216408873364</v>
      </c>
      <c r="E21" s="94">
        <f t="shared" si="24"/>
        <v>30.682344457074901</v>
      </c>
      <c r="F21" s="95">
        <f t="shared" si="24"/>
        <v>9.0417298205954904</v>
      </c>
      <c r="G21" s="95">
        <f t="shared" si="24"/>
        <v>4.6318321386958301</v>
      </c>
      <c r="H21" s="169" t="str">
        <f t="shared" si="3"/>
        <v>p = .007</v>
      </c>
      <c r="I21" s="170" t="str">
        <f t="shared" si="22"/>
        <v>p = .007</v>
      </c>
      <c r="J21" s="172"/>
      <c r="K21" s="113"/>
      <c r="L21" s="113"/>
      <c r="U21" s="113"/>
    </row>
    <row r="22" spans="1:47" x14ac:dyDescent="0.3">
      <c r="D22" s="52"/>
    </row>
    <row r="23" spans="1:47" s="3" customFormat="1" ht="25.8" x14ac:dyDescent="0.3">
      <c r="A23" s="1" t="s">
        <v>8</v>
      </c>
      <c r="H23" s="53"/>
      <c r="I23" s="53"/>
      <c r="J23" s="53"/>
      <c r="K23" s="53"/>
      <c r="L23" s="53"/>
      <c r="X23" s="53"/>
    </row>
    <row r="24" spans="1:47" s="58" customFormat="1" x14ac:dyDescent="0.3">
      <c r="A24" s="61" t="s">
        <v>0</v>
      </c>
      <c r="B24" s="54" t="s">
        <v>38</v>
      </c>
      <c r="C24" s="54" t="s">
        <v>5</v>
      </c>
      <c r="D24" s="54" t="s">
        <v>6</v>
      </c>
      <c r="E24" s="54" t="s">
        <v>3</v>
      </c>
      <c r="F24" s="54" t="s">
        <v>37</v>
      </c>
      <c r="G24" s="54" t="s">
        <v>7</v>
      </c>
      <c r="H24" s="174" t="s">
        <v>36</v>
      </c>
      <c r="I24" s="174" t="s">
        <v>35</v>
      </c>
      <c r="J24" s="174" t="s">
        <v>20</v>
      </c>
      <c r="K24" s="175"/>
      <c r="L24" s="175"/>
      <c r="T24" s="59"/>
    </row>
    <row r="25" spans="1:47" s="18" customFormat="1" x14ac:dyDescent="0.3">
      <c r="A25" s="6" t="s">
        <v>12</v>
      </c>
      <c r="B25" s="6">
        <f>[1]l_t_mode_only_b0!B2</f>
        <v>90.441608895113404</v>
      </c>
      <c r="C25" s="17">
        <f>[1]l_t_mode_only_b0!C2</f>
        <v>73.648794542029705</v>
      </c>
      <c r="D25" s="17">
        <f>[1]l_t_mode_only_b0!D2</f>
        <v>107.234423248197</v>
      </c>
      <c r="E25" s="17">
        <f>[1]l_t_mode_only_b0!E2</f>
        <v>7.5326424159679704</v>
      </c>
      <c r="F25" s="17">
        <f>[1]l_t_mode_only_b0!F2</f>
        <v>12.006624488558201</v>
      </c>
      <c r="G25" s="17">
        <f>[1]l_t_mode_only_b0!G2</f>
        <v>9.9604354970525293</v>
      </c>
      <c r="H25" s="176">
        <f>[1]l_t_mode_only_b0!H2</f>
        <v>3.0170574546993498E-7</v>
      </c>
      <c r="I25" s="177" t="str">
        <f>IF(H25&lt;0.001, "p &lt; .001", _xlfn.CONCAT("p = ", REPLACE(ROUND(H25, 3),1,2,".")))</f>
        <v>p &lt; .001</v>
      </c>
      <c r="J25" s="178">
        <f>Table510[[#This Row],[estimate]]-Table510[[#This Row],[2.5% CI]]</f>
        <v>16.792814353083699</v>
      </c>
      <c r="K25" s="55"/>
      <c r="L25" s="55"/>
      <c r="S25" s="57"/>
      <c r="T25" s="12"/>
      <c r="U25" s="57"/>
      <c r="AC25" s="57"/>
      <c r="AD25" s="57"/>
    </row>
    <row r="26" spans="1:47" s="18" customFormat="1" x14ac:dyDescent="0.3">
      <c r="A26" s="6" t="s">
        <v>13</v>
      </c>
      <c r="B26" s="6">
        <f>[1]l_t_mode_only_b0!B3</f>
        <v>90.853284894580298</v>
      </c>
      <c r="C26" s="17">
        <f>[1]l_t_mode_only_b0!C3</f>
        <v>74.054277437608306</v>
      </c>
      <c r="D26" s="17">
        <f>[1]l_t_mode_only_b0!D3</f>
        <v>107.65229235155201</v>
      </c>
      <c r="E26" s="17">
        <f>[1]l_t_mode_only_b0!E3</f>
        <v>7.5380973516491299</v>
      </c>
      <c r="F26" s="17">
        <f>[1]l_t_mode_only_b0!F3</f>
        <v>12.052548628163301</v>
      </c>
      <c r="G26" s="17">
        <f>[1]l_t_mode_only_b0!G3</f>
        <v>9.9864924694440997</v>
      </c>
      <c r="H26" s="176">
        <f>[1]l_t_mode_only_b0!H3</f>
        <v>2.8399063074685902E-7</v>
      </c>
      <c r="I26" s="177" t="str">
        <f t="shared" ref="I26:I28" si="25">IF(H26&lt;0.001, "p &lt; .001", _xlfn.CONCAT("p = ", REPLACE(ROUND(H26, 3),1,2,".")))</f>
        <v>p &lt; .001</v>
      </c>
      <c r="J26" s="178">
        <f>Table510[[#This Row],[estimate]]-Table510[[#This Row],[2.5% CI]]</f>
        <v>16.799007456971992</v>
      </c>
      <c r="K26" s="55"/>
      <c r="L26" s="55"/>
      <c r="S26" s="57"/>
      <c r="T26" s="12"/>
      <c r="U26" s="57"/>
      <c r="AC26" s="57"/>
      <c r="AD26" s="57"/>
      <c r="AL26" s="57"/>
    </row>
    <row r="27" spans="1:47" s="18" customFormat="1" x14ac:dyDescent="0.3">
      <c r="A27" s="6" t="s">
        <v>14</v>
      </c>
      <c r="B27" s="6">
        <f>[1]l_t_mode_only_b0!B4</f>
        <v>88.162519064654504</v>
      </c>
      <c r="C27" s="17">
        <f>[1]l_t_mode_only_b0!C4</f>
        <v>71.400172117514998</v>
      </c>
      <c r="D27" s="17">
        <f>[1]l_t_mode_only_b0!D4</f>
        <v>104.924866011793</v>
      </c>
      <c r="E27" s="17">
        <f>[1]l_t_mode_only_b0!E4</f>
        <v>7.5083778569353798</v>
      </c>
      <c r="F27" s="17">
        <f>[1]l_t_mode_only_b0!F4</f>
        <v>11.7418862961485</v>
      </c>
      <c r="G27" s="17">
        <f>[1]l_t_mode_only_b0!G4</f>
        <v>9.8583590257464806</v>
      </c>
      <c r="H27" s="176">
        <f>[1]l_t_mode_only_b0!H4</f>
        <v>4.08686452866975E-7</v>
      </c>
      <c r="I27" s="177" t="str">
        <f t="shared" si="25"/>
        <v>p &lt; .001</v>
      </c>
      <c r="J27" s="178">
        <f>Table510[[#This Row],[estimate]]-Table510[[#This Row],[2.5% CI]]</f>
        <v>16.762346947139505</v>
      </c>
      <c r="K27" s="55"/>
      <c r="L27" s="55"/>
      <c r="S27" s="57"/>
      <c r="T27" s="12"/>
      <c r="U27" s="57"/>
      <c r="AC27" s="57"/>
      <c r="AD27" s="57"/>
      <c r="AU27" s="57"/>
    </row>
    <row r="28" spans="1:47" s="18" customFormat="1" x14ac:dyDescent="0.3">
      <c r="A28" s="10" t="s">
        <v>15</v>
      </c>
      <c r="B28" s="10">
        <f>[1]l_t_mode_only_b0!B5</f>
        <v>69.459073012174798</v>
      </c>
      <c r="C28" s="17">
        <f>[1]l_t_mode_only_b0!C5</f>
        <v>52.7726084668003</v>
      </c>
      <c r="D28" s="17">
        <f>[1]l_t_mode_only_b0!D5</f>
        <v>86.145537557549204</v>
      </c>
      <c r="E28" s="17">
        <f>[1]l_t_mode_only_b0!E5</f>
        <v>7.4469897238990397</v>
      </c>
      <c r="F28" s="17">
        <f>[1]l_t_mode_only_b0!F5</f>
        <v>9.3271342632937007</v>
      </c>
      <c r="G28" s="17">
        <f>[1]l_t_mode_only_b0!G5</f>
        <v>9.6026624901658799</v>
      </c>
      <c r="H28" s="176">
        <f>[1]l_t_mode_only_b0!H5</f>
        <v>4.0219505142641401E-6</v>
      </c>
      <c r="I28" s="177" t="str">
        <f t="shared" si="25"/>
        <v>p &lt; .001</v>
      </c>
      <c r="J28" s="178">
        <f>Table510[[#This Row],[estimate]]-Table510[[#This Row],[2.5% CI]]</f>
        <v>16.686464545374498</v>
      </c>
      <c r="K28" s="55"/>
      <c r="L28" s="55"/>
      <c r="T28" s="12"/>
    </row>
    <row r="29" spans="1:47" s="18" customFormat="1" ht="25.8" x14ac:dyDescent="0.3">
      <c r="A29" s="1" t="s">
        <v>9</v>
      </c>
      <c r="B29" s="1"/>
      <c r="C29" s="13"/>
      <c r="D29" s="13"/>
      <c r="E29" s="13"/>
      <c r="F29" s="3"/>
      <c r="G29" s="3"/>
      <c r="H29" s="53"/>
      <c r="I29" s="53"/>
      <c r="J29" s="56"/>
      <c r="K29" s="179"/>
      <c r="L29" s="55"/>
      <c r="Y29" s="55"/>
    </row>
    <row r="30" spans="1:47" s="3" customFormat="1" ht="25.8" x14ac:dyDescent="0.3">
      <c r="A30" s="2" t="s">
        <v>0</v>
      </c>
      <c r="B30" s="4" t="s">
        <v>38</v>
      </c>
      <c r="C30" s="15" t="s">
        <v>5</v>
      </c>
      <c r="D30" s="15" t="s">
        <v>6</v>
      </c>
      <c r="E30" s="15" t="s">
        <v>3</v>
      </c>
      <c r="F30" s="54" t="s">
        <v>37</v>
      </c>
      <c r="G30" s="54" t="s">
        <v>7</v>
      </c>
      <c r="H30" s="174" t="s">
        <v>36</v>
      </c>
      <c r="I30" s="174" t="s">
        <v>35</v>
      </c>
      <c r="J30" s="180" t="s">
        <v>20</v>
      </c>
      <c r="K30" s="53"/>
      <c r="L30" s="53"/>
      <c r="W30" s="53"/>
    </row>
    <row r="31" spans="1:47" x14ac:dyDescent="0.3">
      <c r="A31" s="6" t="str">
        <f>A25</f>
        <v>MDC</v>
      </c>
      <c r="B31" s="6">
        <f>[2]h_t_mode_only_b0!B2</f>
        <v>294.20861375475403</v>
      </c>
      <c r="C31" s="8">
        <f>[2]h_t_mode_only_b0!C2</f>
        <v>213.45319593610699</v>
      </c>
      <c r="D31" s="8">
        <f>[2]h_t_mode_only_b0!D2</f>
        <v>374.96403157340097</v>
      </c>
      <c r="E31" s="8">
        <f>[2]h_t_mode_only_b0!E2</f>
        <v>30.732478984075001</v>
      </c>
      <c r="F31" s="9">
        <f>[2]h_t_mode_only_b0!F2</f>
        <v>9.5732145105250801</v>
      </c>
      <c r="G31" s="9">
        <f>[2]h_t_mode_only_b0!G2</f>
        <v>4.6618503184810001</v>
      </c>
      <c r="H31" s="183">
        <f>[2]h_t_mode_only_b0!H2</f>
        <v>3.0664191986745903E-4</v>
      </c>
      <c r="I31" s="177" t="str">
        <f>IF(H31&lt;0.001, "p &lt; .001", _xlfn.CONCAT("p = ", REPLACE(ROUND(H31, 3),1,2,".")))</f>
        <v>p &lt; .001</v>
      </c>
      <c r="J31" s="178">
        <f>B31-C31</f>
        <v>80.755417818647032</v>
      </c>
      <c r="K31" s="49"/>
      <c r="L31" s="49"/>
      <c r="T31" s="51"/>
      <c r="X31" s="14"/>
    </row>
    <row r="32" spans="1:47" s="18" customFormat="1" x14ac:dyDescent="0.3">
      <c r="A32" s="6" t="str">
        <f>A26</f>
        <v>MWH</v>
      </c>
      <c r="B32" s="6">
        <f>[2]h_t_mode_only_b0!B3</f>
        <v>293.83541250289602</v>
      </c>
      <c r="C32" s="8">
        <f>[2]h_t_mode_only_b0!C3</f>
        <v>213.08268446591799</v>
      </c>
      <c r="D32" s="8">
        <f>[2]h_t_mode_only_b0!D3</f>
        <v>374.58814053987402</v>
      </c>
      <c r="E32" s="8">
        <f>[2]h_t_mode_only_b0!E3</f>
        <v>30.735874587934401</v>
      </c>
      <c r="F32" s="9">
        <f>[2]h_t_mode_only_b0!F3</f>
        <v>9.5600146877955794</v>
      </c>
      <c r="G32" s="9">
        <f>[2]h_t_mode_only_b0!G3</f>
        <v>4.66390002851292</v>
      </c>
      <c r="H32" s="183">
        <f>[2]h_t_mode_only_b0!H3</f>
        <v>3.0782614520721401E-4</v>
      </c>
      <c r="I32" s="177" t="str">
        <f t="shared" ref="I32:I34" si="26">IF(H32&lt;0.001, "p &lt; .001", _xlfn.CONCAT("p = ", REPLACE(ROUND(H32, 3),1,2,".")))</f>
        <v>p &lt; .001</v>
      </c>
      <c r="J32" s="178">
        <f>B32-C32</f>
        <v>80.752728036978027</v>
      </c>
      <c r="K32" s="55"/>
      <c r="L32" s="55"/>
      <c r="T32" s="19"/>
    </row>
    <row r="33" spans="1:24" s="18" customFormat="1" x14ac:dyDescent="0.3">
      <c r="A33" s="6" t="str">
        <f>A27</f>
        <v>MYN</v>
      </c>
      <c r="B33" s="6">
        <f>[2]h_t_mode_only_b0!B4</f>
        <v>291.74515953026599</v>
      </c>
      <c r="C33" s="8">
        <f>[2]h_t_mode_only_b0!C4</f>
        <v>210.97842271262101</v>
      </c>
      <c r="D33" s="8">
        <f>[2]h_t_mode_only_b0!D4</f>
        <v>372.51189634791098</v>
      </c>
      <c r="E33" s="8">
        <f>[2]h_t_mode_only_b0!E4</f>
        <v>30.717970010484301</v>
      </c>
      <c r="F33" s="9">
        <f>[2]h_t_mode_only_b0!F4</f>
        <v>9.4975403462758603</v>
      </c>
      <c r="G33" s="9">
        <f>[2]h_t_mode_only_b0!G4</f>
        <v>4.6531433389066299</v>
      </c>
      <c r="H33" s="183">
        <f>[2]h_t_mode_only_b0!H4</f>
        <v>3.2083210243075101E-4</v>
      </c>
      <c r="I33" s="177" t="str">
        <f t="shared" si="26"/>
        <v>p &lt; .001</v>
      </c>
      <c r="J33" s="178">
        <f>B33-C33</f>
        <v>80.766736817644983</v>
      </c>
      <c r="K33" s="55"/>
      <c r="L33" s="55"/>
      <c r="T33" s="19"/>
    </row>
    <row r="34" spans="1:24" s="18" customFormat="1" x14ac:dyDescent="0.3">
      <c r="A34" s="6" t="str">
        <f>A28</f>
        <v>MDQ</v>
      </c>
      <c r="B34" s="10">
        <f>[2]h_t_mode_only_b0!B5</f>
        <v>277.42146884331697</v>
      </c>
      <c r="C34" s="8">
        <f>[2]h_t_mode_only_b0!C5</f>
        <v>196.62652881327099</v>
      </c>
      <c r="D34" s="8">
        <f>[2]h_t_mode_only_b0!D5</f>
        <v>358.216408873364</v>
      </c>
      <c r="E34" s="8">
        <f>[2]h_t_mode_only_b0!E5</f>
        <v>30.682344457074901</v>
      </c>
      <c r="F34" s="9">
        <f>[2]h_t_mode_only_b0!F5</f>
        <v>9.0417298205954904</v>
      </c>
      <c r="G34" s="9">
        <f>[2]h_t_mode_only_b0!G5</f>
        <v>4.6318321386958301</v>
      </c>
      <c r="H34" s="183">
        <f>[2]h_t_mode_only_b0!H5</f>
        <v>4.0861175582376498E-4</v>
      </c>
      <c r="I34" s="177" t="str">
        <f t="shared" si="26"/>
        <v>p &lt; .001</v>
      </c>
      <c r="J34" s="178">
        <f>B34-C34</f>
        <v>80.794940030045979</v>
      </c>
      <c r="K34" s="55"/>
      <c r="L34" s="55"/>
      <c r="T34" s="19"/>
    </row>
    <row r="35" spans="1:24" x14ac:dyDescent="0.3">
      <c r="D35" s="52"/>
    </row>
    <row r="36" spans="1:24" ht="29.4" x14ac:dyDescent="0.3">
      <c r="A36" s="1" t="s">
        <v>10</v>
      </c>
      <c r="B36" s="3"/>
      <c r="C36" s="13"/>
      <c r="D36" s="62"/>
      <c r="E36" s="3"/>
      <c r="F36" s="3"/>
      <c r="G36" s="3"/>
      <c r="H36" s="53"/>
      <c r="I36" s="53"/>
      <c r="J36" s="53"/>
      <c r="K36" s="53"/>
    </row>
    <row r="37" spans="1:24" x14ac:dyDescent="0.3">
      <c r="A37" s="60" t="s">
        <v>0</v>
      </c>
      <c r="B37" s="54" t="s">
        <v>38</v>
      </c>
      <c r="C37" s="54" t="s">
        <v>5</v>
      </c>
      <c r="D37" s="54" t="s">
        <v>6</v>
      </c>
      <c r="E37" s="54" t="s">
        <v>3</v>
      </c>
      <c r="F37" s="54" t="s">
        <v>37</v>
      </c>
      <c r="G37" s="54" t="s">
        <v>7</v>
      </c>
      <c r="H37" s="174" t="s">
        <v>36</v>
      </c>
      <c r="I37" s="174" t="s">
        <v>35</v>
      </c>
      <c r="J37" s="174" t="s">
        <v>20</v>
      </c>
      <c r="K37" s="50"/>
      <c r="L37" s="49"/>
      <c r="W37" s="49"/>
      <c r="X37" s="14"/>
    </row>
    <row r="38" spans="1:24" x14ac:dyDescent="0.3">
      <c r="A38" s="6" t="str">
        <f t="shared" ref="A38:A41" si="27">A31</f>
        <v>MDC</v>
      </c>
      <c r="B38" s="7">
        <f>[3]l_f0_mode_only_b0!B2</f>
        <v>-2.26543020886918</v>
      </c>
      <c r="C38" s="8">
        <f>[3]l_f0_mode_only_b0!C2</f>
        <v>-5.3981081592246101</v>
      </c>
      <c r="D38" s="8">
        <f>[3]l_f0_mode_only_b0!D2</f>
        <v>0.86724774148624395</v>
      </c>
      <c r="E38" s="8">
        <f>[3]l_f0_mode_only_b0!E2</f>
        <v>0.85442044681805995</v>
      </c>
      <c r="F38" s="9">
        <f>[3]l_f0_mode_only_b0!F2</f>
        <v>-2.6514232159422799</v>
      </c>
      <c r="G38" s="9">
        <f>[3]l_f0_mode_only_b0!G2</f>
        <v>2.41487911094814</v>
      </c>
      <c r="H38" s="181">
        <f>[3]l_f0_mode_only_b0!H2</f>
        <v>9.6667897512049794E-2</v>
      </c>
      <c r="I38" s="177" t="str">
        <f>IF(H38&lt;0.001, "p &lt; .001", _xlfn.CONCAT("p = ", REPLACE(ROUND(H38, 3),1,2,".")))</f>
        <v>p = .097</v>
      </c>
      <c r="J38" s="178">
        <f>B38-C38</f>
        <v>3.1326779503554301</v>
      </c>
      <c r="K38" s="50"/>
      <c r="L38" s="49"/>
      <c r="W38" s="49"/>
      <c r="X38" s="14"/>
    </row>
    <row r="39" spans="1:24" x14ac:dyDescent="0.3">
      <c r="A39" s="6" t="str">
        <f t="shared" si="27"/>
        <v>MWH</v>
      </c>
      <c r="B39" s="7">
        <f>[3]l_f0_mode_only_b0!B3</f>
        <v>-2.1436051743111699</v>
      </c>
      <c r="C39" s="8">
        <f>[3]l_f0_mode_only_b0!C3</f>
        <v>-5.27394563649601</v>
      </c>
      <c r="D39" s="8">
        <f>[3]l_f0_mode_only_b0!D3</f>
        <v>0.98673528787367404</v>
      </c>
      <c r="E39" s="8">
        <f>[3]l_f0_mode_only_b0!E3</f>
        <v>0.85474550203715405</v>
      </c>
      <c r="F39" s="9">
        <f>[3]l_f0_mode_only_b0!F3</f>
        <v>-2.50788704848661</v>
      </c>
      <c r="G39" s="9">
        <f>[3]l_f0_mode_only_b0!G3</f>
        <v>2.4185210880141002</v>
      </c>
      <c r="H39" s="181">
        <f>[3]l_f0_mode_only_b0!H3</f>
        <v>0.107330529790375</v>
      </c>
      <c r="I39" s="177" t="str">
        <f t="shared" ref="I39:I41" si="28">IF(H39&lt;0.001, "p &lt; .001", _xlfn.CONCAT("p = ", REPLACE(ROUND(H39, 3),1,2,".")))</f>
        <v>p = .107</v>
      </c>
      <c r="J39" s="178">
        <f>B39-C39</f>
        <v>3.1303404621848401</v>
      </c>
      <c r="K39" s="50"/>
      <c r="L39" s="49"/>
      <c r="W39" s="49"/>
      <c r="X39" s="14"/>
    </row>
    <row r="40" spans="1:24" x14ac:dyDescent="0.3">
      <c r="A40" s="6" t="str">
        <f t="shared" si="27"/>
        <v>MYN</v>
      </c>
      <c r="B40" s="7">
        <f>[3]l_f0_mode_only_b0!B4</f>
        <v>-0.64182890317611196</v>
      </c>
      <c r="C40" s="8">
        <f>[3]l_f0_mode_only_b0!C4</f>
        <v>-3.7856174096959601</v>
      </c>
      <c r="D40" s="8">
        <f>[3]l_f0_mode_only_b0!D4</f>
        <v>2.5019596033437299</v>
      </c>
      <c r="E40" s="8">
        <f>[3]l_f0_mode_only_b0!E4</f>
        <v>0.85286682488730003</v>
      </c>
      <c r="F40" s="9">
        <f>[3]l_f0_mode_only_b0!F4</f>
        <v>-0.75255465970425595</v>
      </c>
      <c r="G40" s="9">
        <f>[3]l_f0_mode_only_b0!G4</f>
        <v>2.39772520754667</v>
      </c>
      <c r="H40" s="181">
        <f>[3]l_f0_mode_only_b0!H4</f>
        <v>0.51865426307668605</v>
      </c>
      <c r="I40" s="177" t="str">
        <f t="shared" si="28"/>
        <v>p = .519</v>
      </c>
      <c r="J40" s="178">
        <f>B40-C40</f>
        <v>3.1437885065198481</v>
      </c>
      <c r="K40" s="50"/>
      <c r="L40" s="49"/>
      <c r="W40" s="49"/>
      <c r="X40" s="14"/>
    </row>
    <row r="41" spans="1:24" x14ac:dyDescent="0.3">
      <c r="A41" s="6" t="str">
        <f t="shared" si="27"/>
        <v>MDQ</v>
      </c>
      <c r="B41" s="11">
        <f>[3]l_f0_mode_only_b0!B5</f>
        <v>0.223665158670071</v>
      </c>
      <c r="C41" s="8">
        <f>[3]l_f0_mode_only_b0!C5</f>
        <v>-2.9441300826707599</v>
      </c>
      <c r="D41" s="8">
        <f>[3]l_f0_mode_only_b0!D5</f>
        <v>3.3914604000108999</v>
      </c>
      <c r="E41" s="8">
        <f>[3]l_f0_mode_only_b0!E5</f>
        <v>0.84958647798085196</v>
      </c>
      <c r="F41" s="9">
        <f>[3]l_f0_mode_only_b0!F5</f>
        <v>0.26326355758584902</v>
      </c>
      <c r="G41" s="9">
        <f>[3]l_f0_mode_only_b0!G5</f>
        <v>2.36197309447902</v>
      </c>
      <c r="H41" s="181">
        <f>[3]l_f0_mode_only_b0!H5</f>
        <v>0.81357777446832502</v>
      </c>
      <c r="I41" s="177" t="str">
        <f t="shared" si="28"/>
        <v>p = .814</v>
      </c>
      <c r="J41" s="178">
        <f>B41-C41</f>
        <v>3.1677952413408308</v>
      </c>
      <c r="K41" s="50"/>
      <c r="L41" s="49"/>
      <c r="W41" s="49"/>
      <c r="X41" s="14"/>
    </row>
    <row r="42" spans="1:24" ht="29.4" x14ac:dyDescent="0.3">
      <c r="A42" s="1" t="s">
        <v>11</v>
      </c>
      <c r="B42" s="13"/>
      <c r="C42" s="1"/>
      <c r="D42" s="56"/>
      <c r="E42" s="3"/>
      <c r="F42" s="3"/>
      <c r="G42" s="3"/>
      <c r="H42" s="53"/>
      <c r="I42" s="53"/>
      <c r="J42" s="53"/>
      <c r="K42" s="53"/>
    </row>
    <row r="43" spans="1:24" x14ac:dyDescent="0.3">
      <c r="A43" s="2" t="s">
        <v>0</v>
      </c>
      <c r="B43" s="16" t="s">
        <v>38</v>
      </c>
      <c r="C43" s="15" t="s">
        <v>5</v>
      </c>
      <c r="D43" s="15" t="s">
        <v>6</v>
      </c>
      <c r="E43" s="15" t="s">
        <v>3</v>
      </c>
      <c r="F43" s="54" t="s">
        <v>37</v>
      </c>
      <c r="G43" s="54" t="s">
        <v>7</v>
      </c>
      <c r="H43" s="174" t="s">
        <v>36</v>
      </c>
      <c r="I43" s="174" t="s">
        <v>35</v>
      </c>
      <c r="J43" s="180" t="s">
        <v>20</v>
      </c>
      <c r="K43" s="50"/>
      <c r="L43" s="49"/>
      <c r="W43" s="49"/>
      <c r="X43" s="14"/>
    </row>
    <row r="44" spans="1:24" x14ac:dyDescent="0.3">
      <c r="A44" s="6" t="str">
        <f>A25</f>
        <v>MDC</v>
      </c>
      <c r="B44" s="7">
        <f>[4]h_f0_mode_only_b0!B2</f>
        <v>3.2424083734709201</v>
      </c>
      <c r="C44" s="8">
        <f>[4]h_f0_mode_only_b0!C2</f>
        <v>-0.54292695528651302</v>
      </c>
      <c r="D44" s="8">
        <f>[4]h_f0_mode_only_b0!D2</f>
        <v>7.02774370222836</v>
      </c>
      <c r="E44" s="8">
        <f>[4]h_f0_mode_only_b0!E2</f>
        <v>1.23093667731537</v>
      </c>
      <c r="F44" s="9">
        <f>[4]h_f0_mode_only_b0!F2</f>
        <v>2.6340984335136399</v>
      </c>
      <c r="G44" s="9">
        <f>[4]h_f0_mode_only_b0!G2</f>
        <v>3.1953384209530298</v>
      </c>
      <c r="H44" s="181">
        <f>[4]h_f0_mode_only_b0!H2</f>
        <v>7.3077808771839406E-2</v>
      </c>
      <c r="I44" s="177" t="str">
        <f>IF(H44&lt;0.001, "p &lt; .001", _xlfn.CONCAT("p = ", REPLACE(ROUND(H44, 3),1,2,".")))</f>
        <v>p = .073</v>
      </c>
      <c r="J44" s="178">
        <f>B44-C44</f>
        <v>3.7853353287574332</v>
      </c>
      <c r="K44" s="50"/>
      <c r="L44" s="49"/>
      <c r="W44" s="49"/>
      <c r="X44" s="14"/>
    </row>
    <row r="45" spans="1:24" x14ac:dyDescent="0.3">
      <c r="A45" s="6" t="str">
        <f>A26</f>
        <v>MWH</v>
      </c>
      <c r="B45" s="7">
        <f>[4]h_f0_mode_only_b0!B3</f>
        <v>3.6474441988800899</v>
      </c>
      <c r="C45" s="8">
        <f>[4]h_f0_mode_only_b0!C3</f>
        <v>-0.13640460466728299</v>
      </c>
      <c r="D45" s="8">
        <f>[4]h_f0_mode_only_b0!D3</f>
        <v>7.4312930024274699</v>
      </c>
      <c r="E45" s="8">
        <f>[4]h_f0_mode_only_b0!E3</f>
        <v>1.2313917368198799</v>
      </c>
      <c r="F45" s="9">
        <f>[4]h_f0_mode_only_b0!F3</f>
        <v>2.9620502475514101</v>
      </c>
      <c r="G45" s="9">
        <f>[4]h_f0_mode_only_b0!G3</f>
        <v>3.2000119256077402</v>
      </c>
      <c r="H45" s="181">
        <f>[4]h_f0_mode_only_b0!H3</f>
        <v>5.4840212896594999E-2</v>
      </c>
      <c r="I45" s="177" t="str">
        <f t="shared" ref="I45:I47" si="29">IF(H45&lt;0.001, "p &lt; .001", _xlfn.CONCAT("p = ", REPLACE(ROUND(H45, 3),1,2,".")))</f>
        <v>p = .055</v>
      </c>
      <c r="J45" s="178">
        <f>B45-C45</f>
        <v>3.783848803547373</v>
      </c>
      <c r="K45" s="50"/>
      <c r="L45" s="49"/>
      <c r="W45" s="49"/>
      <c r="X45" s="14"/>
    </row>
    <row r="46" spans="1:24" x14ac:dyDescent="0.3">
      <c r="A46" s="6" t="str">
        <f>A27</f>
        <v>MYN</v>
      </c>
      <c r="B46" s="7">
        <f>[4]h_f0_mode_only_b0!B4</f>
        <v>4.9610948140404396</v>
      </c>
      <c r="C46" s="8">
        <f>[4]h_f0_mode_only_b0!C4</f>
        <v>1.16910001029584</v>
      </c>
      <c r="D46" s="8">
        <f>[4]h_f0_mode_only_b0!D4</f>
        <v>8.7530896177850508</v>
      </c>
      <c r="E46" s="8">
        <f>[4]h_f0_mode_only_b0!E4</f>
        <v>1.2288684942097701</v>
      </c>
      <c r="F46" s="9">
        <f>[4]h_f0_mode_only_b0!F4</f>
        <v>4.03712426302432</v>
      </c>
      <c r="G46" s="9">
        <f>[4]h_f0_mode_only_b0!G4</f>
        <v>3.17444626896655</v>
      </c>
      <c r="H46" s="181">
        <f>[4]h_f0_mode_only_b0!H4</f>
        <v>2.4563691731616499E-2</v>
      </c>
      <c r="I46" s="177" t="str">
        <f t="shared" si="29"/>
        <v>p = .025</v>
      </c>
      <c r="J46" s="178">
        <f>B46-C46</f>
        <v>3.7919948037445996</v>
      </c>
      <c r="K46" s="50"/>
      <c r="L46" s="49"/>
      <c r="W46" s="49"/>
      <c r="X46" s="14"/>
    </row>
    <row r="47" spans="1:24" x14ac:dyDescent="0.3">
      <c r="A47" s="6" t="str">
        <f>A28</f>
        <v>MDQ</v>
      </c>
      <c r="B47" s="11">
        <f>[4]h_f0_mode_only_b0!B5</f>
        <v>7.75313030215107</v>
      </c>
      <c r="C47" s="8">
        <f>[4]h_f0_mode_only_b0!C5</f>
        <v>3.9451018875893999</v>
      </c>
      <c r="D47" s="8">
        <f>[4]h_f0_mode_only_b0!D5</f>
        <v>11.561158716712701</v>
      </c>
      <c r="E47" s="8">
        <f>[4]h_f0_mode_only_b0!E5</f>
        <v>1.22402015432609</v>
      </c>
      <c r="F47" s="9">
        <f>[4]h_f0_mode_only_b0!F5</f>
        <v>6.3341524849479898</v>
      </c>
      <c r="G47" s="9">
        <f>[4]h_f0_mode_only_b0!G5</f>
        <v>3.12602187053532</v>
      </c>
      <c r="H47" s="181">
        <f>[4]h_f0_mode_only_b0!H5</f>
        <v>7.0266870606441201E-3</v>
      </c>
      <c r="I47" s="177" t="str">
        <f t="shared" si="29"/>
        <v>p = .007</v>
      </c>
      <c r="J47" s="178">
        <f>B47-C47</f>
        <v>3.8080284145616701</v>
      </c>
      <c r="K47" s="50"/>
      <c r="L47" s="49"/>
      <c r="W47" s="49"/>
      <c r="X47" s="14"/>
    </row>
  </sheetData>
  <mergeCells count="1">
    <mergeCell ref="A1:J1"/>
  </mergeCells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A1:N67"/>
  <sheetViews>
    <sheetView topLeftCell="A9" zoomScaleNormal="100" workbookViewId="0">
      <selection activeCell="E14" sqref="E14"/>
    </sheetView>
  </sheetViews>
  <sheetFormatPr defaultRowHeight="14.4" x14ac:dyDescent="0.3"/>
  <cols>
    <col min="4" max="4" width="10.33203125" customWidth="1"/>
    <col min="27" max="27" width="10.33203125" customWidth="1"/>
    <col min="28" max="29" width="5.6640625" customWidth="1"/>
  </cols>
  <sheetData>
    <row r="1" ht="15" customHeight="1" x14ac:dyDescent="0.3"/>
    <row r="22" spans="1:14" x14ac:dyDescent="0.3">
      <c r="N22" s="98"/>
    </row>
    <row r="30" spans="1:14" ht="15" thickBot="1" x14ac:dyDescent="0.35">
      <c r="A30" s="137" t="s">
        <v>68</v>
      </c>
      <c r="B30" s="278" t="s">
        <v>71</v>
      </c>
      <c r="C30" s="278"/>
      <c r="D30" s="137"/>
      <c r="E30" s="277" t="s">
        <v>72</v>
      </c>
      <c r="F30" s="277"/>
      <c r="G30" s="137"/>
      <c r="H30" s="277" t="s">
        <v>65</v>
      </c>
      <c r="I30" s="277"/>
    </row>
    <row r="31" spans="1:14" ht="15.6" thickTop="1" thickBot="1" x14ac:dyDescent="0.35">
      <c r="A31" s="130"/>
      <c r="B31" s="130" t="s">
        <v>57</v>
      </c>
      <c r="C31" s="128" t="s">
        <v>73</v>
      </c>
      <c r="D31" s="130"/>
      <c r="E31" s="130" t="s">
        <v>57</v>
      </c>
      <c r="F31" s="128" t="s">
        <v>73</v>
      </c>
      <c r="G31" s="130"/>
      <c r="H31" s="130" t="s">
        <v>57</v>
      </c>
      <c r="I31" s="128" t="s">
        <v>73</v>
      </c>
    </row>
    <row r="32" spans="1:14" ht="15.6" thickTop="1" thickBot="1" x14ac:dyDescent="0.35">
      <c r="A32" s="125" t="s">
        <v>26</v>
      </c>
      <c r="B32" s="133">
        <f>AVERAGE('mode b1'!B3,'mode b1'!B8,'mode b1'!B13,'mode b1'!B18,'mode b1'!B23,'mode b1'!B28)</f>
        <v>1.4948437290087224</v>
      </c>
      <c r="C32" s="133">
        <f>_xlfn.STDEV.S('mode b1'!B3,'mode b1'!B8,'mode b1'!B13,'mode b1'!B18,'mode b1'!B23,'mode b1'!B28)</f>
        <v>0.89972800465786174</v>
      </c>
      <c r="D32" s="133"/>
      <c r="E32" s="133">
        <f>AVERAGE('mode+ b1'!B3,'mode+ b1'!B8,'mode+ b1'!B13,'mode+ b1'!B18,'mode+ b1'!B23,'mode+ b1'!B28)</f>
        <v>0.84422248358633623</v>
      </c>
      <c r="F32" s="133">
        <f>_xlfn.STDEV.S('mode+ b1'!B3,'mode+ b1'!B8,'mode+ b1'!B13,'mode+ b1'!B18,'mode+ b1'!B23,'mode+ b1'!B28)</f>
        <v>0.51947399994178267</v>
      </c>
      <c r="G32" s="133"/>
      <c r="H32" s="133">
        <f>E32-B32</f>
        <v>-0.6506212454223862</v>
      </c>
      <c r="I32" s="133">
        <f>F32-C32</f>
        <v>-0.38025400471607906</v>
      </c>
    </row>
    <row r="33" spans="1:9" x14ac:dyDescent="0.3">
      <c r="A33" s="126" t="s">
        <v>27</v>
      </c>
      <c r="B33" s="134">
        <f>AVERAGE('mode b1'!B4,'mode b1'!B9,'mode b1'!B14,'mode b1'!B19,'mode b1'!B24,'mode b1'!B29)</f>
        <v>2.4743027335415868</v>
      </c>
      <c r="C33" s="134">
        <f>_xlfn.STDEV.S('mode b1'!B4,'mode b1'!B9,'mode b1'!B14,'mode b1'!B19,'mode b1'!B24,'mode b1'!B29)</f>
        <v>1.6192160942048621</v>
      </c>
      <c r="D33" s="134"/>
      <c r="E33" s="134">
        <f>AVERAGE('mode+ b1'!B4,'mode+ b1'!B9,'mode+ b1'!B14,'mode+ b1'!B19,'mode+ b1'!B24,'mode+ b1'!B29)</f>
        <v>1.4300924876388204</v>
      </c>
      <c r="F33" s="134">
        <f>_xlfn.STDEV.S('mode+ b1'!B4,'mode+ b1'!B9,'mode+ b1'!B14,'mode+ b1'!B19,'mode+ b1'!B24,'mode+ b1'!B29)</f>
        <v>0.94000607359094246</v>
      </c>
      <c r="G33" s="134"/>
      <c r="H33" s="134">
        <f>E33-B33</f>
        <v>-1.0442102459027665</v>
      </c>
      <c r="I33" s="134">
        <f>F33-C33</f>
        <v>-0.67921002061391966</v>
      </c>
    </row>
    <row r="39" spans="1:9" x14ac:dyDescent="0.3">
      <c r="C39" s="100"/>
      <c r="D39" s="100"/>
      <c r="E39" s="101"/>
    </row>
    <row r="40" spans="1:9" ht="15" customHeight="1" x14ac:dyDescent="0.3"/>
    <row r="41" spans="1:9" ht="15.6" customHeight="1" x14ac:dyDescent="0.3"/>
    <row r="44" spans="1:9" ht="15.6" customHeight="1" x14ac:dyDescent="0.3"/>
    <row r="45" spans="1:9" ht="15" customHeight="1" x14ac:dyDescent="0.3"/>
    <row r="48" spans="1:9" x14ac:dyDescent="0.3">
      <c r="B48" t="s">
        <v>85</v>
      </c>
      <c r="E48" t="s">
        <v>92</v>
      </c>
    </row>
    <row r="49" spans="2:11" x14ac:dyDescent="0.3">
      <c r="B49" t="s">
        <v>88</v>
      </c>
      <c r="E49" t="s">
        <v>93</v>
      </c>
    </row>
    <row r="50" spans="2:11" x14ac:dyDescent="0.3">
      <c r="E50" t="s">
        <v>90</v>
      </c>
    </row>
    <row r="51" spans="2:11" x14ac:dyDescent="0.3">
      <c r="B51" t="s">
        <v>87</v>
      </c>
      <c r="E51" t="s">
        <v>91</v>
      </c>
    </row>
    <row r="52" spans="2:11" x14ac:dyDescent="0.3">
      <c r="E52" t="s">
        <v>101</v>
      </c>
    </row>
    <row r="53" spans="2:11" x14ac:dyDescent="0.3">
      <c r="E53" t="s">
        <v>102</v>
      </c>
    </row>
    <row r="56" spans="2:11" x14ac:dyDescent="0.3">
      <c r="C56" s="136"/>
      <c r="D56" s="135"/>
      <c r="E56" s="135"/>
      <c r="F56" s="135"/>
      <c r="G56" s="135"/>
      <c r="H56" s="135"/>
      <c r="I56" s="135"/>
      <c r="J56" s="135"/>
      <c r="K56" s="135"/>
    </row>
    <row r="64" spans="2:11" x14ac:dyDescent="0.3">
      <c r="G64" s="99"/>
      <c r="H64" s="99"/>
    </row>
    <row r="65" spans="7:8" x14ac:dyDescent="0.3">
      <c r="G65" s="99"/>
      <c r="H65" s="99"/>
    </row>
    <row r="66" spans="7:8" x14ac:dyDescent="0.3">
      <c r="G66" s="99"/>
      <c r="H66" s="99"/>
    </row>
    <row r="67" spans="7:8" x14ac:dyDescent="0.3">
      <c r="G67" s="99"/>
      <c r="H67" s="99"/>
    </row>
  </sheetData>
  <mergeCells count="3">
    <mergeCell ref="H30:I30"/>
    <mergeCell ref="E30:F30"/>
    <mergeCell ref="B30:C3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J33"/>
  <sheetViews>
    <sheetView showGridLines="0" topLeftCell="A2" zoomScale="70" zoomScaleNormal="70" workbookViewId="0">
      <selection activeCell="B27" sqref="B27:E27"/>
    </sheetView>
  </sheetViews>
  <sheetFormatPr defaultColWidth="8.88671875" defaultRowHeight="14.4" x14ac:dyDescent="0.3"/>
  <cols>
    <col min="1" max="1" width="14" style="64" bestFit="1" customWidth="1"/>
    <col min="2" max="3" width="11.33203125" style="64" bestFit="1" customWidth="1"/>
    <col min="4" max="4" width="9.6640625" style="64" bestFit="1" customWidth="1"/>
    <col min="5" max="5" width="10.6640625" style="63" bestFit="1" customWidth="1"/>
    <col min="6" max="6" width="9.6640625" style="63" bestFit="1" customWidth="1"/>
    <col min="7" max="7" width="10.109375" style="63" customWidth="1"/>
    <col min="8" max="8" width="12.88671875" style="158" customWidth="1"/>
    <col min="9" max="9" width="13.33203125" style="158" customWidth="1"/>
    <col min="10" max="10" width="14" style="63" customWidth="1"/>
    <col min="11" max="11" width="3.33203125" style="63" customWidth="1"/>
    <col min="12" max="13" width="8.88671875" style="63"/>
    <col min="14" max="14" width="2.88671875" style="63" customWidth="1"/>
    <col min="15" max="15" width="12" style="63" customWidth="1"/>
    <col min="16" max="16" width="3.88671875" style="63" customWidth="1"/>
    <col min="17" max="16384" width="8.88671875" style="63"/>
  </cols>
  <sheetData>
    <row r="1" spans="1:10" s="76" customFormat="1" ht="30" thickBot="1" x14ac:dyDescent="0.35">
      <c r="A1" s="78" t="s">
        <v>42</v>
      </c>
      <c r="B1" s="85"/>
      <c r="C1" s="77"/>
      <c r="D1" s="85"/>
      <c r="E1" s="85"/>
      <c r="F1" s="84"/>
      <c r="G1" s="84"/>
      <c r="H1" s="152"/>
      <c r="I1" s="152"/>
    </row>
    <row r="2" spans="1:10" ht="25.2" customHeight="1" thickTop="1" thickBot="1" x14ac:dyDescent="0.35">
      <c r="A2" s="74" t="s">
        <v>40</v>
      </c>
      <c r="B2" s="74" t="str">
        <f>[17]utt_f0_mode_only_b0!B1</f>
        <v>estimate</v>
      </c>
      <c r="C2" s="74" t="str">
        <f>[17]utt_f0_mode_only_b0!C1</f>
        <v>conf.low</v>
      </c>
      <c r="D2" s="74" t="str">
        <f>[17]utt_f0_mode_only_b0!D1</f>
        <v>conf.high</v>
      </c>
      <c r="E2" s="74" t="str">
        <f>[17]utt_f0_mode_only_b0!E1</f>
        <v>std.error</v>
      </c>
      <c r="F2" s="74" t="str">
        <f>[17]utt_f0_mode_only_b0!F1</f>
        <v>t.value</v>
      </c>
      <c r="G2" s="74" t="str">
        <f>[17]utt_f0_mode_only_b0!G1</f>
        <v>df</v>
      </c>
      <c r="H2" s="159" t="str">
        <f>[17]utt_f0_mode_only_b0!H1</f>
        <v>p.value</v>
      </c>
      <c r="I2" s="153" t="str">
        <f>[17]utt_f0_mode_only_b0!I1</f>
        <v>p.adj (BH)</v>
      </c>
      <c r="J2" s="74" t="s">
        <v>54</v>
      </c>
    </row>
    <row r="3" spans="1:10" s="79" customFormat="1" ht="33.6" customHeight="1" thickTop="1" thickBot="1" x14ac:dyDescent="0.35">
      <c r="A3" s="73" t="s">
        <v>12</v>
      </c>
      <c r="B3" s="73">
        <f>[17]utt_f0_mode_only_b0!B2</f>
        <v>-0.52353979027253095</v>
      </c>
      <c r="C3" s="73">
        <f>[17]utt_f0_mode_only_b0!C2</f>
        <v>-0.875233769253009</v>
      </c>
      <c r="D3" s="73">
        <f>[17]utt_f0_mode_only_b0!D2</f>
        <v>-0.17184581129205301</v>
      </c>
      <c r="E3" s="71">
        <f>[17]utt_f0_mode_only_b0!E2</f>
        <v>0.15901510122401699</v>
      </c>
      <c r="F3" s="71">
        <f>[17]utt_f0_mode_only_b0!F2</f>
        <v>-3.29239038457724</v>
      </c>
      <c r="G3" s="71">
        <f>[17]utt_f0_mode_only_b0!G2</f>
        <v>10.579647998862701</v>
      </c>
      <c r="H3" s="160">
        <f>[17]utt_f0_mode_only_b0!H2</f>
        <v>7.5423206454383798E-3</v>
      </c>
      <c r="I3" s="154" t="str">
        <f>IF(H3&lt;0.001, "p &lt; .001", _xlfn.CONCAT("p = ", REPLACE(ROUND(H3, 3),1,2,".")))</f>
        <v>p = .008</v>
      </c>
      <c r="J3" s="71">
        <f>D3-B3</f>
        <v>0.35169397898047794</v>
      </c>
    </row>
    <row r="4" spans="1:10" s="79" customFormat="1" ht="33.6" customHeight="1" thickBot="1" x14ac:dyDescent="0.35">
      <c r="A4" s="70" t="s">
        <v>13</v>
      </c>
      <c r="B4" s="70">
        <f>[17]utt_f0_mode_only_b0!B3</f>
        <v>-4.9753135106339497E-2</v>
      </c>
      <c r="C4" s="70">
        <f>[17]utt_f0_mode_only_b0!C3</f>
        <v>-0.67034954012477899</v>
      </c>
      <c r="D4" s="70">
        <f>[17]utt_f0_mode_only_b0!D3</f>
        <v>0.57084326991209899</v>
      </c>
      <c r="E4" s="68">
        <f>[17]utt_f0_mode_only_b0!E3</f>
        <v>0.28243441864628599</v>
      </c>
      <c r="F4" s="68">
        <f>[17]utt_f0_mode_only_b0!F3</f>
        <v>-0.176158186898067</v>
      </c>
      <c r="G4" s="68">
        <f>[17]utt_f0_mode_only_b0!G3</f>
        <v>11.152805969689201</v>
      </c>
      <c r="H4" s="161">
        <f>[17]utt_f0_mode_only_b0!H3</f>
        <v>0.86332763449388095</v>
      </c>
      <c r="I4" s="155" t="str">
        <f>IF(H4&lt;0.001, "p &lt; .001", _xlfn.CONCAT("p = ", REPLACE(ROUND(H4, 3),1,2,".")))</f>
        <v>p = .863</v>
      </c>
      <c r="J4" s="68">
        <f t="shared" ref="J4:J6" si="0">D4-B4</f>
        <v>0.62059640501843849</v>
      </c>
    </row>
    <row r="5" spans="1:10" s="79" customFormat="1" ht="33.6" customHeight="1" thickBot="1" x14ac:dyDescent="0.35">
      <c r="A5" s="70" t="s">
        <v>14</v>
      </c>
      <c r="B5" s="70">
        <f>[17]utt_f0_mode_only_b0!B4</f>
        <v>0.23743757336004501</v>
      </c>
      <c r="C5" s="70">
        <f>[17]utt_f0_mode_only_b0!C4</f>
        <v>-0.14802119447717799</v>
      </c>
      <c r="D5" s="70">
        <f>[17]utt_f0_mode_only_b0!D4</f>
        <v>0.622896341197268</v>
      </c>
      <c r="E5" s="68">
        <f>[17]utt_f0_mode_only_b0!E4</f>
        <v>0.17707019232993801</v>
      </c>
      <c r="F5" s="68">
        <f>[17]utt_f0_mode_only_b0!F4</f>
        <v>1.3409234509534</v>
      </c>
      <c r="G5" s="68">
        <f>[17]utt_f0_mode_only_b0!G4</f>
        <v>12.097346266187699</v>
      </c>
      <c r="H5" s="161">
        <f>[17]utt_f0_mode_only_b0!H4</f>
        <v>0.20458079354737199</v>
      </c>
      <c r="I5" s="155" t="str">
        <f>IF(H5&lt;0.001, "p &lt; .001", _xlfn.CONCAT("p = ", REPLACE(ROUND(H5, 3),1,2,".")))</f>
        <v>p = .205</v>
      </c>
      <c r="J5" s="68">
        <f t="shared" si="0"/>
        <v>0.38545876783722299</v>
      </c>
    </row>
    <row r="6" spans="1:10" s="79" customFormat="1" ht="33.6" customHeight="1" thickBot="1" x14ac:dyDescent="0.35">
      <c r="A6" s="67" t="s">
        <v>15</v>
      </c>
      <c r="B6" s="67">
        <f>[17]utt_f0_mode_only_b0!B5</f>
        <v>1.67378616080225</v>
      </c>
      <c r="C6" s="67">
        <f>[17]utt_f0_mode_only_b0!C5</f>
        <v>0.70534574293183705</v>
      </c>
      <c r="D6" s="67">
        <f>[17]utt_f0_mode_only_b0!D5</f>
        <v>2.6422265786726702</v>
      </c>
      <c r="E6" s="65">
        <f>[17]utt_f0_mode_only_b0!E5</f>
        <v>0.43732359179105101</v>
      </c>
      <c r="F6" s="65">
        <f>[17]utt_f0_mode_only_b0!F5</f>
        <v>3.8273401943565202</v>
      </c>
      <c r="G6" s="65">
        <f>[17]utt_f0_mode_only_b0!G5</f>
        <v>10.476764087094701</v>
      </c>
      <c r="H6" s="162">
        <f>[17]utt_f0_mode_only_b0!H5</f>
        <v>3.0637351248745102E-3</v>
      </c>
      <c r="I6" s="156" t="str">
        <f>IF(H6&lt;0.001, "p &lt; .001", _xlfn.CONCAT("p = ", REPLACE(ROUND(H6, 3),1,2,".")))</f>
        <v>p = .003</v>
      </c>
      <c r="J6" s="65">
        <f t="shared" si="0"/>
        <v>0.96844041787042023</v>
      </c>
    </row>
    <row r="7" spans="1:10" s="79" customFormat="1" x14ac:dyDescent="0.3">
      <c r="A7" s="63" t="s">
        <v>56</v>
      </c>
      <c r="B7" s="64">
        <f>_xlfn.STDEV.S(B3:B6)</f>
        <v>0.94639514078683329</v>
      </c>
      <c r="C7" s="82" t="s">
        <v>59</v>
      </c>
      <c r="D7" s="83">
        <f>_xlfn.VAR.S(B3:B6)</f>
        <v>0.89566376250493007</v>
      </c>
      <c r="E7" s="82"/>
      <c r="F7" s="81"/>
      <c r="G7" s="80"/>
      <c r="H7" s="157"/>
      <c r="I7" s="157"/>
    </row>
    <row r="8" spans="1:10" s="79" customFormat="1" x14ac:dyDescent="0.3">
      <c r="A8" s="63" t="s">
        <v>58</v>
      </c>
      <c r="B8" s="121">
        <f>AVERAGE(B3:B6)</f>
        <v>0.33448270219585613</v>
      </c>
      <c r="C8" s="83"/>
      <c r="D8" s="82"/>
      <c r="E8" s="82"/>
      <c r="F8" s="81"/>
      <c r="G8" s="80"/>
      <c r="H8" s="157"/>
      <c r="I8" s="157"/>
    </row>
    <row r="9" spans="1:10" s="76" customFormat="1" ht="33.6" customHeight="1" thickBot="1" x14ac:dyDescent="0.35">
      <c r="A9" s="78" t="s">
        <v>41</v>
      </c>
      <c r="B9" s="77"/>
      <c r="C9" s="77"/>
      <c r="D9" s="77"/>
      <c r="E9" s="77"/>
      <c r="G9" s="76" t="s">
        <v>39</v>
      </c>
      <c r="H9" s="152"/>
      <c r="I9" s="152"/>
    </row>
    <row r="10" spans="1:10" ht="25.2" customHeight="1" thickTop="1" thickBot="1" x14ac:dyDescent="0.35">
      <c r="A10" s="74" t="s">
        <v>43</v>
      </c>
      <c r="B10" s="74" t="s">
        <v>38</v>
      </c>
      <c r="C10" s="74" t="s">
        <v>44</v>
      </c>
      <c r="D10" s="74" t="s">
        <v>45</v>
      </c>
      <c r="E10" s="74" t="s">
        <v>3</v>
      </c>
      <c r="F10" s="74" t="s">
        <v>89</v>
      </c>
      <c r="G10" s="74" t="s">
        <v>7</v>
      </c>
      <c r="H10" s="159" t="s">
        <v>36</v>
      </c>
      <c r="I10" s="153" t="s">
        <v>35</v>
      </c>
      <c r="J10" s="74" t="s">
        <v>54</v>
      </c>
    </row>
    <row r="11" spans="1:10" s="79" customFormat="1" ht="33.6" customHeight="1" thickTop="1" thickBot="1" x14ac:dyDescent="0.35">
      <c r="A11" s="73" t="s">
        <v>12</v>
      </c>
      <c r="B11" s="71">
        <f>[18]utt_slope_mode_only_b0!B2</f>
        <v>-1.0847290853465901</v>
      </c>
      <c r="C11" s="73">
        <f>[18]utt_slope_mode_only_b0!C2</f>
        <v>-2.8357516446013902</v>
      </c>
      <c r="D11" s="73">
        <f>[18]utt_slope_mode_only_b0!D2</f>
        <v>0.66629347390820204</v>
      </c>
      <c r="E11" s="71">
        <f>[18]utt_slope_mode_only_b0!E2</f>
        <v>0.80255069651954403</v>
      </c>
      <c r="F11" s="71">
        <f>[18]utt_slope_mode_only_b0!F2</f>
        <v>-1.3516019487002899</v>
      </c>
      <c r="G11" s="71">
        <f>[18]utt_slope_mode_only_b0!G2</f>
        <v>11.852603454848699</v>
      </c>
      <c r="H11" s="160">
        <f>[18]utt_slope_mode_only_b0!H2</f>
        <v>0.20173457763462899</v>
      </c>
      <c r="I11" s="154" t="str">
        <f t="shared" ref="I11:I14" si="1">IF(H11&lt;0.001, "p &lt; .001", _xlfn.CONCAT("p = ", REPLACE(ROUND(H11, 3),1,2,".")))</f>
        <v>p = .202</v>
      </c>
      <c r="J11" s="71">
        <f t="shared" ref="J11:J14" si="2">D11-B11</f>
        <v>1.7510225592547921</v>
      </c>
    </row>
    <row r="12" spans="1:10" s="79" customFormat="1" ht="33.6" customHeight="1" thickBot="1" x14ac:dyDescent="0.35">
      <c r="A12" s="70" t="s">
        <v>13</v>
      </c>
      <c r="B12" s="68">
        <f>[18]utt_slope_mode_only_b0!B3</f>
        <v>-3.5085954682927101</v>
      </c>
      <c r="C12" s="70">
        <f>[18]utt_slope_mode_only_b0!C3</f>
        <v>-5.9325757703845099</v>
      </c>
      <c r="D12" s="70">
        <f>[18]utt_slope_mode_only_b0!D3</f>
        <v>-1.08461516620092</v>
      </c>
      <c r="E12" s="68">
        <f>[18]utt_slope_mode_only_b0!E3</f>
        <v>1.0727388084649601</v>
      </c>
      <c r="F12" s="68">
        <f>[18]utt_slope_mode_only_b0!F3</f>
        <v>-3.27068941722482</v>
      </c>
      <c r="G12" s="68">
        <f>[18]utt_slope_mode_only_b0!G3</f>
        <v>9.0668207951320401</v>
      </c>
      <c r="H12" s="161">
        <f>[18]utt_slope_mode_only_b0!H3</f>
        <v>9.5771483486035598E-3</v>
      </c>
      <c r="I12" s="155" t="str">
        <f t="shared" si="1"/>
        <v>p = .01</v>
      </c>
      <c r="J12" s="68">
        <f t="shared" si="2"/>
        <v>2.4239803020917901</v>
      </c>
    </row>
    <row r="13" spans="1:10" s="79" customFormat="1" ht="33.6" customHeight="1" thickBot="1" x14ac:dyDescent="0.35">
      <c r="A13" s="70" t="s">
        <v>14</v>
      </c>
      <c r="B13" s="68">
        <f>[18]utt_slope_mode_only_b0!B4</f>
        <v>2.4650478731333498</v>
      </c>
      <c r="C13" s="70">
        <f>[18]utt_slope_mode_only_b0!C4</f>
        <v>1.1010018453656401</v>
      </c>
      <c r="D13" s="70">
        <f>[18]utt_slope_mode_only_b0!D4</f>
        <v>3.8290939009010598</v>
      </c>
      <c r="E13" s="68">
        <f>[18]utt_slope_mode_only_b0!E4</f>
        <v>0.59294309237126996</v>
      </c>
      <c r="F13" s="68">
        <f>[18]utt_slope_mode_only_b0!F4</f>
        <v>4.15730936888942</v>
      </c>
      <c r="G13" s="68">
        <f>[18]utt_slope_mode_only_b0!G4</f>
        <v>8.1121433748972294</v>
      </c>
      <c r="H13" s="161">
        <f>[18]utt_slope_mode_only_b0!H4</f>
        <v>3.0817069950630199E-3</v>
      </c>
      <c r="I13" s="155" t="str">
        <f t="shared" si="1"/>
        <v>p = .003</v>
      </c>
      <c r="J13" s="68">
        <f t="shared" si="2"/>
        <v>1.36404602776771</v>
      </c>
    </row>
    <row r="14" spans="1:10" s="79" customFormat="1" ht="33.6" customHeight="1" thickBot="1" x14ac:dyDescent="0.35">
      <c r="A14" s="67" t="s">
        <v>15</v>
      </c>
      <c r="B14" s="65">
        <f>[18]utt_slope_mode_only_b0!B5</f>
        <v>5.52394654787373</v>
      </c>
      <c r="C14" s="67">
        <f>[18]utt_slope_mode_only_b0!C5</f>
        <v>3.1424667967711599</v>
      </c>
      <c r="D14" s="67">
        <f>[18]utt_slope_mode_only_b0!D5</f>
        <v>7.9054262989762902</v>
      </c>
      <c r="E14" s="65">
        <f>[18]utt_slope_mode_only_b0!E5</f>
        <v>1.09052188241313</v>
      </c>
      <c r="F14" s="65">
        <f>[18]utt_slope_mode_only_b0!F5</f>
        <v>5.0654155931747002</v>
      </c>
      <c r="G14" s="65">
        <f>[18]utt_slope_mode_only_b0!G5</f>
        <v>11.7579334056738</v>
      </c>
      <c r="H14" s="162">
        <f>[18]utt_slope_mode_only_b0!H5</f>
        <v>2.9537740825649002E-4</v>
      </c>
      <c r="I14" s="156" t="str">
        <f t="shared" si="1"/>
        <v>p &lt; .001</v>
      </c>
      <c r="J14" s="65">
        <f t="shared" si="2"/>
        <v>2.3814797511025603</v>
      </c>
    </row>
    <row r="15" spans="1:10" x14ac:dyDescent="0.3">
      <c r="A15" s="63" t="s">
        <v>56</v>
      </c>
      <c r="B15" s="64">
        <f>_xlfn.STDEV.S(B11:B14)</f>
        <v>3.9663031640428499</v>
      </c>
      <c r="C15" s="82" t="s">
        <v>59</v>
      </c>
      <c r="D15" s="82">
        <f>_xlfn.VAR.S(B11:B14)</f>
        <v>15.731560789096321</v>
      </c>
    </row>
    <row r="16" spans="1:10" x14ac:dyDescent="0.3">
      <c r="A16" s="63" t="s">
        <v>57</v>
      </c>
      <c r="B16" s="64">
        <f>AVERAGE(B11:B14)</f>
        <v>0.8489174668419448</v>
      </c>
      <c r="C16" s="63"/>
      <c r="D16" s="63"/>
    </row>
    <row r="17" spans="1:6" ht="33.6" customHeight="1" x14ac:dyDescent="0.3">
      <c r="A17" s="63"/>
      <c r="B17" s="63"/>
      <c r="C17" s="63"/>
      <c r="D17" s="63"/>
    </row>
    <row r="18" spans="1:6" ht="33.6" customHeight="1" x14ac:dyDescent="0.3">
      <c r="B18" s="64" t="s">
        <v>115</v>
      </c>
      <c r="C18" s="64" t="s">
        <v>116</v>
      </c>
      <c r="D18" s="64" t="s">
        <v>117</v>
      </c>
      <c r="E18" s="63" t="s">
        <v>118</v>
      </c>
      <c r="F18" s="63" t="s">
        <v>120</v>
      </c>
    </row>
    <row r="19" spans="1:6" ht="16.2" customHeight="1" x14ac:dyDescent="0.3">
      <c r="A19" s="86">
        <v>-2</v>
      </c>
      <c r="B19" s="64">
        <f>$B$3+$B$11*$A19</f>
        <v>1.6459183804206492</v>
      </c>
      <c r="C19" s="64">
        <f>$B$4+$B$12*$A19</f>
        <v>6.9674378014790808</v>
      </c>
      <c r="D19" s="64">
        <f>$B$5+$B$13*$A19</f>
        <v>-4.692658172906655</v>
      </c>
      <c r="E19" s="64">
        <f>$B$6+$B$14*$A19</f>
        <v>-9.3741069349452104</v>
      </c>
      <c r="F19" s="64">
        <f>$B$8+$B$16*$A19</f>
        <v>-1.3633522314880335</v>
      </c>
    </row>
    <row r="20" spans="1:6" ht="15.6" customHeight="1" x14ac:dyDescent="0.3">
      <c r="A20" s="86">
        <v>2</v>
      </c>
      <c r="B20" s="64">
        <f>$B$3+$B$11*$A20</f>
        <v>-2.6929979609657111</v>
      </c>
      <c r="C20" s="64">
        <f>$B$4+$B$12*$A20</f>
        <v>-7.0669440716917595</v>
      </c>
      <c r="D20" s="64">
        <f>$B$5+$B$13*$A20</f>
        <v>5.1675333196267443</v>
      </c>
      <c r="E20" s="64">
        <f>$B$5+$B$14*$A20</f>
        <v>11.285330669107505</v>
      </c>
      <c r="F20" s="64">
        <f>$B$8+$B$16*$A20</f>
        <v>2.0323176358797457</v>
      </c>
    </row>
    <row r="21" spans="1:6" ht="12" customHeight="1" x14ac:dyDescent="0.3"/>
    <row r="23" spans="1:6" x14ac:dyDescent="0.3">
      <c r="B23" s="64" t="str">
        <f>B18</f>
        <v>MDC (m-o)</v>
      </c>
      <c r="C23" s="64" t="str">
        <f t="shared" ref="C23:E23" si="3">C18</f>
        <v>MWH (m-o)</v>
      </c>
      <c r="D23" s="64" t="str">
        <f t="shared" si="3"/>
        <v>MYN (m-o)</v>
      </c>
      <c r="E23" s="64" t="str">
        <f t="shared" si="3"/>
        <v>MDQ (m-o)</v>
      </c>
      <c r="F23" s="63" t="s">
        <v>119</v>
      </c>
    </row>
    <row r="24" spans="1:6" x14ac:dyDescent="0.3">
      <c r="A24" s="86">
        <v>-2</v>
      </c>
      <c r="B24" s="64">
        <f>$B$3</f>
        <v>-0.52353979027253095</v>
      </c>
      <c r="C24" s="64">
        <f>$B$4</f>
        <v>-4.9753135106339497E-2</v>
      </c>
      <c r="D24" s="64">
        <f>$B$5</f>
        <v>0.23743757336004501</v>
      </c>
      <c r="E24" s="64">
        <f>$B$6</f>
        <v>1.67378616080225</v>
      </c>
      <c r="F24" s="64">
        <f>B8</f>
        <v>0.33448270219585613</v>
      </c>
    </row>
    <row r="25" spans="1:6" x14ac:dyDescent="0.3">
      <c r="A25" s="86">
        <v>2</v>
      </c>
      <c r="B25" s="64">
        <f>$B$3</f>
        <v>-0.52353979027253095</v>
      </c>
      <c r="C25" s="64">
        <f>$B$4</f>
        <v>-4.9753135106339497E-2</v>
      </c>
      <c r="D25" s="64">
        <f>$B$5</f>
        <v>0.23743757336004501</v>
      </c>
      <c r="E25" s="64">
        <f>$B$6</f>
        <v>1.67378616080225</v>
      </c>
      <c r="F25" s="64">
        <f>B8</f>
        <v>0.33448270219585613</v>
      </c>
    </row>
    <row r="27" spans="1:6" x14ac:dyDescent="0.3">
      <c r="A27" s="63"/>
      <c r="B27" t="s">
        <v>12</v>
      </c>
      <c r="C27" t="s">
        <v>13</v>
      </c>
      <c r="D27" t="s">
        <v>14</v>
      </c>
      <c r="E27" t="s">
        <v>15</v>
      </c>
    </row>
    <row r="28" spans="1:6" x14ac:dyDescent="0.3">
      <c r="A28" s="63"/>
      <c r="B28" s="63"/>
      <c r="C28" s="63"/>
      <c r="D28" s="63"/>
    </row>
    <row r="29" spans="1:6" x14ac:dyDescent="0.3">
      <c r="A29" s="63"/>
      <c r="B29" s="63"/>
      <c r="C29" s="63"/>
      <c r="D29" s="63"/>
    </row>
    <row r="30" spans="1:6" x14ac:dyDescent="0.3">
      <c r="C30" s="63"/>
      <c r="D30" s="63"/>
    </row>
    <row r="31" spans="1:6" x14ac:dyDescent="0.3">
      <c r="C31" s="63"/>
      <c r="D31" s="63"/>
    </row>
    <row r="32" spans="1:6" x14ac:dyDescent="0.3">
      <c r="C32" s="63"/>
      <c r="D32" s="63"/>
    </row>
    <row r="33" spans="3:4" x14ac:dyDescent="0.3">
      <c r="C33" s="63"/>
      <c r="D33" s="63"/>
    </row>
  </sheetData>
  <conditionalFormatting sqref="I11:I12">
    <cfRule type="containsText" dxfId="37" priority="43" stopIfTrue="1" operator="containsText" text="p&lt;0.001">
      <formula>NOT(ISERROR(SEARCH("p&lt;0.001",I11)))</formula>
    </cfRule>
    <cfRule type="containsText" dxfId="36" priority="44" stopIfTrue="1" operator="containsText" text="p&lt;0.01">
      <formula>NOT(ISERROR(SEARCH("p&lt;0.01",I11)))</formula>
    </cfRule>
    <cfRule type="containsText" dxfId="35" priority="45" stopIfTrue="1" operator="containsText" text="p&lt;0.05">
      <formula>NOT(ISERROR(SEARCH("p&lt;0.05",I11)))</formula>
    </cfRule>
    <cfRule type="containsText" dxfId="34" priority="46" stopIfTrue="1" operator="containsText" text="p&lt;0.1">
      <formula>NOT(ISERROR(SEARCH("p&lt;0.1",I11)))</formula>
    </cfRule>
  </conditionalFormatting>
  <conditionalFormatting sqref="I13:I14">
    <cfRule type="containsText" dxfId="33" priority="35" stopIfTrue="1" operator="containsText" text="p&lt;0.001">
      <formula>NOT(ISERROR(SEARCH("p&lt;0.001",I13)))</formula>
    </cfRule>
    <cfRule type="containsText" dxfId="32" priority="36" stopIfTrue="1" operator="containsText" text="p&lt;0.01">
      <formula>NOT(ISERROR(SEARCH("p&lt;0.01",I13)))</formula>
    </cfRule>
    <cfRule type="containsText" dxfId="31" priority="37" stopIfTrue="1" operator="containsText" text="p&lt;0.05">
      <formula>NOT(ISERROR(SEARCH("p&lt;0.05",I13)))</formula>
    </cfRule>
    <cfRule type="containsText" dxfId="30" priority="38" stopIfTrue="1" operator="containsText" text="p&lt;0.1">
      <formula>NOT(ISERROR(SEARCH("p&lt;0.1",I13)))</formula>
    </cfRule>
  </conditionalFormatting>
  <conditionalFormatting sqref="I3:I4">
    <cfRule type="containsText" dxfId="29" priority="18" stopIfTrue="1" operator="containsText" text="p&lt;0.0001">
      <formula>NOT(ISERROR(SEARCH("p&lt;0.0001",I3)))</formula>
    </cfRule>
    <cfRule type="containsText" dxfId="28" priority="27" stopIfTrue="1" operator="containsText" text="p&lt;0.001">
      <formula>NOT(ISERROR(SEARCH("p&lt;0.001",I3)))</formula>
    </cfRule>
    <cfRule type="containsText" dxfId="27" priority="28" stopIfTrue="1" operator="containsText" text="p&lt;0.01">
      <formula>NOT(ISERROR(SEARCH("p&lt;0.01",I3)))</formula>
    </cfRule>
    <cfRule type="containsText" dxfId="26" priority="29" stopIfTrue="1" operator="containsText" text="p&lt;0.05">
      <formula>NOT(ISERROR(SEARCH("p&lt;0.05",I3)))</formula>
    </cfRule>
    <cfRule type="containsText" dxfId="25" priority="30" stopIfTrue="1" operator="containsText" text="p&lt;0.1">
      <formula>NOT(ISERROR(SEARCH("p&lt;0.1",I3)))</formula>
    </cfRule>
  </conditionalFormatting>
  <conditionalFormatting sqref="I5:I6">
    <cfRule type="containsText" dxfId="24" priority="17" stopIfTrue="1" operator="containsText" text="p&lt;0.0001">
      <formula>NOT(ISERROR(SEARCH("p&lt;0.0001",I5)))</formula>
    </cfRule>
    <cfRule type="containsText" dxfId="23" priority="19" stopIfTrue="1" operator="containsText" text="p&lt;0.001">
      <formula>NOT(ISERROR(SEARCH("p&lt;0.001",I5)))</formula>
    </cfRule>
    <cfRule type="containsText" dxfId="22" priority="20" stopIfTrue="1" operator="containsText" text="p&lt;0.01">
      <formula>NOT(ISERROR(SEARCH("p&lt;0.01",I5)))</formula>
    </cfRule>
    <cfRule type="containsText" dxfId="21" priority="21" stopIfTrue="1" operator="containsText" text="p&lt;0.05">
      <formula>NOT(ISERROR(SEARCH("p&lt;0.05",I5)))</formula>
    </cfRule>
    <cfRule type="containsText" dxfId="20" priority="22" stopIfTrue="1" operator="containsText" text="p&lt;0.1">
      <formula>NOT(ISERROR(SEARCH("p&lt;0.1",I5)))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L33"/>
  <sheetViews>
    <sheetView showGridLines="0" zoomScale="85" zoomScaleNormal="85" workbookViewId="0">
      <selection activeCell="B12" sqref="B12"/>
    </sheetView>
  </sheetViews>
  <sheetFormatPr defaultColWidth="8.88671875" defaultRowHeight="14.4" x14ac:dyDescent="0.3"/>
  <cols>
    <col min="1" max="1" width="14" style="64" bestFit="1" customWidth="1"/>
    <col min="2" max="3" width="11.33203125" style="64" bestFit="1" customWidth="1"/>
    <col min="4" max="4" width="9.6640625" style="64" bestFit="1" customWidth="1"/>
    <col min="5" max="5" width="10.6640625" style="63" bestFit="1" customWidth="1"/>
    <col min="6" max="6" width="9.6640625" style="63" bestFit="1" customWidth="1"/>
    <col min="7" max="7" width="10.109375" style="63" customWidth="1"/>
    <col min="8" max="8" width="12.88671875" style="63" customWidth="1"/>
    <col min="9" max="9" width="13.33203125" style="63" customWidth="1"/>
    <col min="10" max="10" width="14" style="63" customWidth="1"/>
    <col min="11" max="11" width="3.33203125" style="63" customWidth="1"/>
    <col min="12" max="13" width="8.88671875" style="63"/>
    <col min="14" max="14" width="2.88671875" style="63" customWidth="1"/>
    <col min="15" max="15" width="12" style="63" customWidth="1"/>
    <col min="16" max="16" width="3.88671875" style="63" customWidth="1"/>
    <col min="17" max="16384" width="8.88671875" style="63"/>
  </cols>
  <sheetData>
    <row r="1" spans="1:12" s="76" customFormat="1" ht="30" thickBot="1" x14ac:dyDescent="0.35">
      <c r="A1" s="78" t="s">
        <v>42</v>
      </c>
      <c r="B1" s="85" t="s">
        <v>55</v>
      </c>
      <c r="C1" s="77"/>
      <c r="D1" s="85"/>
      <c r="E1" s="85"/>
      <c r="F1" s="84"/>
      <c r="G1" s="84"/>
    </row>
    <row r="2" spans="1:12" ht="25.2" customHeight="1" thickTop="1" thickBot="1" x14ac:dyDescent="0.35">
      <c r="A2" s="74" t="s">
        <v>43</v>
      </c>
      <c r="B2" s="74" t="s">
        <v>38</v>
      </c>
      <c r="C2" s="74" t="s">
        <v>44</v>
      </c>
      <c r="D2" s="74" t="s">
        <v>45</v>
      </c>
      <c r="E2" s="74" t="s">
        <v>3</v>
      </c>
      <c r="F2" s="74" t="s">
        <v>89</v>
      </c>
      <c r="G2" s="74" t="s">
        <v>7</v>
      </c>
      <c r="H2" s="159" t="s">
        <v>36</v>
      </c>
      <c r="I2" s="153" t="s">
        <v>35</v>
      </c>
      <c r="J2" s="74" t="s">
        <v>54</v>
      </c>
    </row>
    <row r="3" spans="1:12" s="79" customFormat="1" ht="33.6" customHeight="1" thickTop="1" thickBot="1" x14ac:dyDescent="0.35">
      <c r="A3" s="73" t="s">
        <v>12</v>
      </c>
      <c r="B3" s="73">
        <f>[19]utt_f0_full_phon_b0!B2</f>
        <v>-0.38442111827453201</v>
      </c>
      <c r="C3" s="73">
        <f>[19]utt_f0_full_phon_b0!C2</f>
        <v>-0.75762663330942004</v>
      </c>
      <c r="D3" s="73">
        <f>[19]utt_f0_full_phon_b0!D2</f>
        <v>-1.12156032396445E-2</v>
      </c>
      <c r="E3" s="71">
        <f>[19]utt_f0_full_phon_b0!E2</f>
        <v>0.17916577489626601</v>
      </c>
      <c r="F3" s="71">
        <f>[19]utt_f0_full_phon_b0!F2</f>
        <v>-2.14561692096107</v>
      </c>
      <c r="G3" s="71">
        <f>[19]utt_f0_full_phon_b0!G2</f>
        <v>20.4510735557182</v>
      </c>
      <c r="H3" s="124">
        <f>[19]utt_f0_full_phon_b0!H2</f>
        <v>4.4077035526772099E-2</v>
      </c>
      <c r="I3" s="154" t="str">
        <f>IF(H3&lt;0.001, "p &lt; .001", _xlfn.CONCAT("p = ", REPLACE(ROUND(H3, 3),1,2,".")))</f>
        <v>p = .044</v>
      </c>
      <c r="J3" s="71">
        <f t="shared" ref="J3:J6" si="0">D3-B3</f>
        <v>0.37320551503488752</v>
      </c>
    </row>
    <row r="4" spans="1:12" s="79" customFormat="1" ht="33.6" customHeight="1" thickBot="1" x14ac:dyDescent="0.35">
      <c r="A4" s="70" t="s">
        <v>13</v>
      </c>
      <c r="B4" s="274">
        <f>[19]utt_f0_full_phon_b0!B3</f>
        <v>1.9090454207855701E-2</v>
      </c>
      <c r="C4" s="70">
        <f>[19]utt_f0_full_phon_b0!C3</f>
        <v>-0.64802930203367204</v>
      </c>
      <c r="D4" s="70">
        <f>[19]utt_f0_full_phon_b0!D3</f>
        <v>0.68621021044938302</v>
      </c>
      <c r="E4" s="68">
        <f>[19]utt_f0_full_phon_b0!E3</f>
        <v>0.305797408809933</v>
      </c>
      <c r="F4" s="68">
        <f>[19]utt_f0_full_phon_b0!F3</f>
        <v>6.2428436794640302E-2</v>
      </c>
      <c r="G4" s="68">
        <f>[19]utt_f0_full_phon_b0!G3</f>
        <v>11.864576039767099</v>
      </c>
      <c r="H4" s="163">
        <f>[19]utt_f0_full_phon_b0!H3</f>
        <v>0.95126102016046998</v>
      </c>
      <c r="I4" s="155" t="str">
        <f>IF(H4&lt;0.001, "p &lt; .001", _xlfn.CONCAT("p = ", REPLACE(ROUND(H4, 3),1,2,".")))</f>
        <v>p = .951</v>
      </c>
      <c r="J4" s="68">
        <f t="shared" si="0"/>
        <v>0.66711975624152731</v>
      </c>
    </row>
    <row r="5" spans="1:12" s="79" customFormat="1" ht="33.6" customHeight="1" thickBot="1" x14ac:dyDescent="0.35">
      <c r="A5" s="70" t="s">
        <v>14</v>
      </c>
      <c r="B5" s="70">
        <f>[19]utt_f0_full_phon_b0!B4</f>
        <v>0.20147082685336401</v>
      </c>
      <c r="C5" s="70">
        <f>[19]utt_f0_full_phon_b0!C4</f>
        <v>-0.24246143578272</v>
      </c>
      <c r="D5" s="70">
        <f>[19]utt_f0_full_phon_b0!D4</f>
        <v>0.64540308948944902</v>
      </c>
      <c r="E5" s="68">
        <f>[19]utt_f0_full_phon_b0!E4</f>
        <v>0.21563819590665101</v>
      </c>
      <c r="F5" s="68">
        <f>[19]utt_f0_full_phon_b0!F4</f>
        <v>0.93430028018125399</v>
      </c>
      <c r="G5" s="68">
        <f>[19]utt_f0_full_phon_b0!G4</f>
        <v>25.204810159968002</v>
      </c>
      <c r="H5" s="163">
        <f>[19]utt_f0_full_phon_b0!H4</f>
        <v>0.359014281056731</v>
      </c>
      <c r="I5" s="155" t="str">
        <f>IF(H5&lt;0.001, "p &lt; .001", _xlfn.CONCAT("p = ", REPLACE(ROUND(H5, 3),1,2,".")))</f>
        <v>p = .359</v>
      </c>
      <c r="J5" s="68">
        <f t="shared" si="0"/>
        <v>0.44393226263608498</v>
      </c>
    </row>
    <row r="6" spans="1:12" s="79" customFormat="1" ht="33.6" customHeight="1" thickBot="1" x14ac:dyDescent="0.35">
      <c r="A6" s="67" t="s">
        <v>15</v>
      </c>
      <c r="B6" s="67">
        <f>[19]utt_f0_full_phon_b0!B5</f>
        <v>1.45782068605973</v>
      </c>
      <c r="C6" s="67">
        <f>[19]utt_f0_full_phon_b0!C5</f>
        <v>0.50308063261124503</v>
      </c>
      <c r="D6" s="67">
        <f>[19]utt_f0_full_phon_b0!D5</f>
        <v>2.41256073950822</v>
      </c>
      <c r="E6" s="65">
        <f>[19]utt_f0_full_phon_b0!E5</f>
        <v>0.44494121251708502</v>
      </c>
      <c r="F6" s="65">
        <f>[19]utt_f0_full_phon_b0!F5</f>
        <v>3.27643438065147</v>
      </c>
      <c r="G6" s="65">
        <f>[19]utt_f0_full_phon_b0!G5</f>
        <v>13.932170255473</v>
      </c>
      <c r="H6" s="164">
        <f>[19]utt_f0_full_phon_b0!H5</f>
        <v>5.5458762656690501E-3</v>
      </c>
      <c r="I6" s="156" t="str">
        <f>IF(H6&lt;0.001, "p &lt; .001", _xlfn.CONCAT("p = ", REPLACE(ROUND(H6, 3),1,2,".")))</f>
        <v>p = .006</v>
      </c>
      <c r="J6" s="65">
        <f t="shared" si="0"/>
        <v>0.95474005344849</v>
      </c>
    </row>
    <row r="7" spans="1:12" s="79" customFormat="1" x14ac:dyDescent="0.3">
      <c r="A7" s="63" t="s">
        <v>56</v>
      </c>
      <c r="B7" s="64">
        <f>_xlfn.STDEV.S(B3:B6)</f>
        <v>0.7948568044637786</v>
      </c>
      <c r="C7" s="82" t="s">
        <v>59</v>
      </c>
      <c r="D7" s="83">
        <f>_xlfn.VAR.S(B3:B6)</f>
        <v>0.63179733960236961</v>
      </c>
      <c r="E7" s="82"/>
      <c r="F7" s="81"/>
      <c r="G7" s="80" t="s">
        <v>60</v>
      </c>
      <c r="H7" s="123">
        <f>'Utt Mode+ b0'!B7-'Utt Mode b0'!B7</f>
        <v>-0.15153833632305469</v>
      </c>
      <c r="I7" s="79" t="s">
        <v>61</v>
      </c>
      <c r="J7" s="123">
        <f>'Utt Mode b0'!D7-'Utt Mode+ b0'!D7</f>
        <v>0.26386642290256046</v>
      </c>
    </row>
    <row r="8" spans="1:12" s="79" customFormat="1" x14ac:dyDescent="0.3">
      <c r="A8" s="63" t="s">
        <v>57</v>
      </c>
      <c r="B8" s="121">
        <f>AVERAGE(B3:B6)</f>
        <v>0.32349021221160446</v>
      </c>
      <c r="C8" s="82"/>
      <c r="D8" s="82"/>
      <c r="E8" s="82"/>
      <c r="F8" s="81"/>
      <c r="G8" s="80" t="s">
        <v>66</v>
      </c>
      <c r="H8" s="123">
        <f>'Utt Mode+ b0'!B8-'Utt Mode b0'!B8</f>
        <v>-1.0992489984251674E-2</v>
      </c>
    </row>
    <row r="9" spans="1:12" s="76" customFormat="1" ht="33.6" customHeight="1" thickBot="1" x14ac:dyDescent="0.35">
      <c r="A9" s="78" t="s">
        <v>41</v>
      </c>
      <c r="B9" s="85" t="s">
        <v>55</v>
      </c>
      <c r="C9" s="85"/>
      <c r="D9" s="85"/>
      <c r="E9" s="77"/>
      <c r="G9" s="76" t="s">
        <v>39</v>
      </c>
    </row>
    <row r="10" spans="1:12" ht="25.2" customHeight="1" thickTop="1" thickBot="1" x14ac:dyDescent="0.35">
      <c r="A10" s="74" t="s">
        <v>43</v>
      </c>
      <c r="B10" s="74" t="s">
        <v>38</v>
      </c>
      <c r="C10" s="74" t="s">
        <v>44</v>
      </c>
      <c r="D10" s="74" t="s">
        <v>45</v>
      </c>
      <c r="E10" s="74" t="s">
        <v>3</v>
      </c>
      <c r="F10" s="74" t="s">
        <v>89</v>
      </c>
      <c r="G10" s="74" t="s">
        <v>7</v>
      </c>
      <c r="H10" s="159" t="s">
        <v>36</v>
      </c>
      <c r="I10" s="153" t="s">
        <v>35</v>
      </c>
      <c r="J10" s="74" t="s">
        <v>54</v>
      </c>
      <c r="L10" s="63" t="s">
        <v>121</v>
      </c>
    </row>
    <row r="11" spans="1:12" s="79" customFormat="1" ht="33.6" customHeight="1" thickTop="1" thickBot="1" x14ac:dyDescent="0.35">
      <c r="A11" s="73" t="s">
        <v>12</v>
      </c>
      <c r="B11" s="71">
        <f>[20]utt_slope_full_phon_b0!B2</f>
        <v>-1.8878020075566999</v>
      </c>
      <c r="C11" s="73">
        <f>[20]utt_slope_full_phon_b0!C2</f>
        <v>-3.6381225538835298</v>
      </c>
      <c r="D11" s="73">
        <f>[20]utt_slope_full_phon_b0!D2</f>
        <v>-0.13748146122987601</v>
      </c>
      <c r="E11" s="71">
        <f>[20]utt_slope_full_phon_b0!E2</f>
        <v>0.80346480565378398</v>
      </c>
      <c r="F11" s="71">
        <f>[20]utt_slope_full_phon_b0!F2</f>
        <v>-2.3495764771184802</v>
      </c>
      <c r="G11" s="71">
        <f>[20]utt_slope_full_phon_b0!G2</f>
        <v>12.0172636414443</v>
      </c>
      <c r="H11" s="124">
        <f>[20]utt_slope_full_phon_b0!H2</f>
        <v>3.6713026822769099E-2</v>
      </c>
      <c r="I11" s="154" t="str">
        <f>IF(H11&lt;0.001, "p &lt; .001", _xlfn.CONCAT("p = ", REPLACE(ROUND(H11, 3),1,2,".")))</f>
        <v>p = .037</v>
      </c>
      <c r="J11" s="71">
        <f>D11-B11</f>
        <v>1.7503205463268239</v>
      </c>
      <c r="L11" s="123">
        <f>B11-'Utt Mode b0'!B11</f>
        <v>-0.80307292221010984</v>
      </c>
    </row>
    <row r="12" spans="1:12" s="79" customFormat="1" ht="33.6" customHeight="1" thickBot="1" x14ac:dyDescent="0.35">
      <c r="A12" s="70" t="s">
        <v>13</v>
      </c>
      <c r="B12" s="274">
        <f>[20]utt_slope_full_phon_b0!B3</f>
        <v>-4.0033950883418896</v>
      </c>
      <c r="C12" s="70">
        <f>[20]utt_slope_full_phon_b0!C3</f>
        <v>-6.6543406991710503</v>
      </c>
      <c r="D12" s="70">
        <f>[20]utt_slope_full_phon_b0!D3</f>
        <v>-1.35244947751274</v>
      </c>
      <c r="E12" s="68">
        <f>[20]utt_slope_full_phon_b0!E3</f>
        <v>1.1854556319438401</v>
      </c>
      <c r="F12" s="68">
        <f>[20]utt_slope_full_phon_b0!F3</f>
        <v>-3.3770939885597802</v>
      </c>
      <c r="G12" s="68">
        <f>[20]utt_slope_full_phon_b0!G3</f>
        <v>9.7400721159056101</v>
      </c>
      <c r="H12" s="163">
        <f>[20]utt_slope_full_phon_b0!H3</f>
        <v>7.3004914972161702E-3</v>
      </c>
      <c r="I12" s="155" t="str">
        <f>IF(H12&lt;0.001, "p &lt; .001", _xlfn.CONCAT("p = ", REPLACE(ROUND(H12, 3),1,2,".")))</f>
        <v>p = .007</v>
      </c>
      <c r="J12" s="68">
        <f t="shared" ref="J12:J14" si="1">D12-B12</f>
        <v>2.6509456108291496</v>
      </c>
      <c r="L12" s="123">
        <f>B12-'Utt Mode b0'!B12</f>
        <v>-0.49479962004917954</v>
      </c>
    </row>
    <row r="13" spans="1:12" s="79" customFormat="1" ht="33.6" customHeight="1" thickBot="1" x14ac:dyDescent="0.35">
      <c r="A13" s="70" t="s">
        <v>14</v>
      </c>
      <c r="B13" s="68">
        <f>[20]utt_slope_full_phon_b0!B4</f>
        <v>1.0603770561059001</v>
      </c>
      <c r="C13" s="70">
        <f>[20]utt_slope_full_phon_b0!C4</f>
        <v>-0.11602240881398899</v>
      </c>
      <c r="D13" s="70">
        <f>[20]utt_slope_full_phon_b0!D4</f>
        <v>2.2367765210258002</v>
      </c>
      <c r="E13" s="68">
        <f>[20]utt_slope_full_phon_b0!E4</f>
        <v>0.52240863673414395</v>
      </c>
      <c r="F13" s="68">
        <f>[20]utt_slope_full_phon_b0!F4</f>
        <v>2.0297846963918702</v>
      </c>
      <c r="G13" s="68">
        <f>[20]utt_slope_full_phon_b0!G4</f>
        <v>9.2777442708821098</v>
      </c>
      <c r="H13" s="163">
        <f>[20]utt_slope_full_phon_b0!H4</f>
        <v>7.2021882863407202E-2</v>
      </c>
      <c r="I13" s="155" t="str">
        <f>IF(H13&lt;0.001, "p &lt; .001", _xlfn.CONCAT("p = ", REPLACE(ROUND(H13, 3),1,2,".")))</f>
        <v>p = .072</v>
      </c>
      <c r="J13" s="68">
        <f t="shared" si="1"/>
        <v>1.1763994649199001</v>
      </c>
      <c r="L13" s="123">
        <f>B13-'Utt Mode b0'!B13</f>
        <v>-1.4046708170274498</v>
      </c>
    </row>
    <row r="14" spans="1:12" s="79" customFormat="1" ht="33.6" customHeight="1" thickBot="1" x14ac:dyDescent="0.35">
      <c r="A14" s="67" t="s">
        <v>15</v>
      </c>
      <c r="B14" s="65">
        <f>[20]utt_slope_full_phon_b0!B5</f>
        <v>3.3264548312707198</v>
      </c>
      <c r="C14" s="67">
        <f>[20]utt_slope_full_phon_b0!C5</f>
        <v>1.2433649563350599</v>
      </c>
      <c r="D14" s="67">
        <f>[20]utt_slope_full_phon_b0!D5</f>
        <v>5.4095447062063799</v>
      </c>
      <c r="E14" s="65">
        <f>[20]utt_slope_full_phon_b0!E5</f>
        <v>0.97366214547632801</v>
      </c>
      <c r="F14" s="65">
        <f>[20]utt_slope_full_phon_b0!F5</f>
        <v>3.4164364371415199</v>
      </c>
      <c r="G14" s="65">
        <f>[20]utt_slope_full_phon_b0!G5</f>
        <v>14.383210124455999</v>
      </c>
      <c r="H14" s="164">
        <f>[20]utt_slope_full_phon_b0!H5</f>
        <v>4.03333212819992E-3</v>
      </c>
      <c r="I14" s="156" t="str">
        <f>IF(H14&lt;0.001, "p &lt; .001", _xlfn.CONCAT("p = ", REPLACE(ROUND(H14, 3),1,2,".")))</f>
        <v>p = .004</v>
      </c>
      <c r="J14" s="65">
        <f t="shared" si="1"/>
        <v>2.0830898749356601</v>
      </c>
      <c r="L14" s="123">
        <f>B14-'Utt Mode b0'!B14</f>
        <v>-2.1974917166030101</v>
      </c>
    </row>
    <row r="15" spans="1:12" x14ac:dyDescent="0.3">
      <c r="A15" s="63" t="s">
        <v>56</v>
      </c>
      <c r="B15" s="64">
        <f>_xlfn.STDEV.S(B11:B14)</f>
        <v>3.2256726031709193</v>
      </c>
      <c r="C15" s="82" t="s">
        <v>59</v>
      </c>
      <c r="D15" s="82">
        <f>_xlfn.VAR.S(B11:B14)</f>
        <v>10.404963742847455</v>
      </c>
      <c r="G15" s="80" t="s">
        <v>60</v>
      </c>
      <c r="H15" s="123">
        <f>'Utt Mode+ b0'!B15-'Utt Mode b0'!B15</f>
        <v>-0.74063056087193058</v>
      </c>
      <c r="I15" s="79" t="s">
        <v>61</v>
      </c>
      <c r="J15" s="123">
        <f>'Utt Mode b0'!D15-'Utt Mode+ b0'!D15</f>
        <v>5.3265970462488657</v>
      </c>
    </row>
    <row r="16" spans="1:12" x14ac:dyDescent="0.3">
      <c r="A16" s="63" t="s">
        <v>57</v>
      </c>
      <c r="B16" s="64">
        <f>AVERAGE(B11:B14)</f>
        <v>-0.37609130213049236</v>
      </c>
      <c r="C16" s="63"/>
      <c r="D16" s="63"/>
      <c r="G16" s="63" t="s">
        <v>66</v>
      </c>
      <c r="H16" s="123">
        <f>'Utt Mode+ b0'!B16-'Utt Mode b0'!B16</f>
        <v>-1.2250087689724372</v>
      </c>
    </row>
    <row r="17" spans="1:6" ht="33.6" customHeight="1" x14ac:dyDescent="0.3">
      <c r="A17" s="63"/>
      <c r="B17" s="63"/>
      <c r="C17" s="63"/>
      <c r="D17" s="63"/>
    </row>
    <row r="18" spans="1:6" ht="33.6" customHeight="1" x14ac:dyDescent="0.3">
      <c r="B18" s="64" t="s">
        <v>109</v>
      </c>
      <c r="C18" s="64" t="s">
        <v>110</v>
      </c>
      <c r="D18" s="64" t="s">
        <v>111</v>
      </c>
      <c r="E18" s="63" t="s">
        <v>112</v>
      </c>
      <c r="F18" s="63" t="s">
        <v>113</v>
      </c>
    </row>
    <row r="19" spans="1:6" ht="33.6" customHeight="1" x14ac:dyDescent="0.3">
      <c r="A19" s="86">
        <v>-2</v>
      </c>
      <c r="B19" s="64">
        <f>$B$3+$B$11*$A19</f>
        <v>3.3911828968388678</v>
      </c>
      <c r="C19" s="64">
        <f>$B$4+$B$12*$A19</f>
        <v>8.0258806308916348</v>
      </c>
      <c r="D19" s="64">
        <f>$B$5+$B$13*$A19</f>
        <v>-1.9192832853584361</v>
      </c>
      <c r="E19" s="64">
        <f>$B$6+$B$14*$A19</f>
        <v>-5.1950889764817099</v>
      </c>
      <c r="F19" s="64">
        <f>$B$8+$B$16*$A19</f>
        <v>1.0756728164725891</v>
      </c>
    </row>
    <row r="20" spans="1:6" ht="33.6" customHeight="1" x14ac:dyDescent="0.3">
      <c r="A20" s="86">
        <v>2</v>
      </c>
      <c r="B20" s="64">
        <f>$B$3+$B$11*$A20</f>
        <v>-4.1600251333879319</v>
      </c>
      <c r="C20" s="64">
        <f>$B$4+$B$12*$A20</f>
        <v>-7.9876997224759236</v>
      </c>
      <c r="D20" s="64">
        <f>$B$5+$B$13*$A20</f>
        <v>2.3222249390651641</v>
      </c>
      <c r="E20" s="64">
        <f>$B$5+$B$14*$A20</f>
        <v>6.8543804893948037</v>
      </c>
      <c r="F20" s="64">
        <f>$B$8+$B$16*$A20</f>
        <v>-0.42869239204938026</v>
      </c>
    </row>
    <row r="21" spans="1:6" ht="33.6" customHeight="1" x14ac:dyDescent="0.3"/>
    <row r="23" spans="1:6" x14ac:dyDescent="0.3">
      <c r="B23" s="64" t="str">
        <f>B18</f>
        <v>MDC (m+p)</v>
      </c>
      <c r="C23" s="64" t="str">
        <f t="shared" ref="C23:E23" si="2">C18</f>
        <v>MWH (m+p)</v>
      </c>
      <c r="D23" s="64" t="str">
        <f t="shared" si="2"/>
        <v>MYN (m+p)</v>
      </c>
      <c r="E23" s="64" t="str">
        <f t="shared" si="2"/>
        <v>MDQ (m+p)</v>
      </c>
      <c r="F23" s="63" t="s">
        <v>114</v>
      </c>
    </row>
    <row r="24" spans="1:6" x14ac:dyDescent="0.3">
      <c r="A24" s="86">
        <v>-2</v>
      </c>
      <c r="B24" s="64">
        <f>$B$3</f>
        <v>-0.38442111827453201</v>
      </c>
      <c r="C24" s="64">
        <f>$B$4</f>
        <v>1.9090454207855701E-2</v>
      </c>
      <c r="D24" s="64">
        <f>$B$5</f>
        <v>0.20147082685336401</v>
      </c>
      <c r="E24" s="64">
        <f>$B$6</f>
        <v>1.45782068605973</v>
      </c>
      <c r="F24" s="64">
        <f>B8</f>
        <v>0.32349021221160446</v>
      </c>
    </row>
    <row r="25" spans="1:6" x14ac:dyDescent="0.3">
      <c r="A25" s="86">
        <v>2</v>
      </c>
      <c r="B25" s="64">
        <f>$B$3</f>
        <v>-0.38442111827453201</v>
      </c>
      <c r="C25" s="64">
        <f>$B$4</f>
        <v>1.9090454207855701E-2</v>
      </c>
      <c r="D25" s="64">
        <f>$B$5</f>
        <v>0.20147082685336401</v>
      </c>
      <c r="E25" s="64">
        <f>$B$6</f>
        <v>1.45782068605973</v>
      </c>
      <c r="F25" s="64">
        <f>B8</f>
        <v>0.32349021221160446</v>
      </c>
    </row>
    <row r="26" spans="1:6" x14ac:dyDescent="0.3">
      <c r="A26" s="63"/>
      <c r="B26" s="63"/>
      <c r="C26" s="63"/>
      <c r="D26" s="63"/>
    </row>
    <row r="27" spans="1:6" x14ac:dyDescent="0.3">
      <c r="A27" s="63"/>
      <c r="B27" s="63"/>
      <c r="C27" s="63"/>
      <c r="D27" s="63"/>
    </row>
    <row r="28" spans="1:6" x14ac:dyDescent="0.3">
      <c r="A28" s="63"/>
      <c r="B28" s="63"/>
      <c r="C28" s="63"/>
      <c r="D28" s="63"/>
    </row>
    <row r="29" spans="1:6" x14ac:dyDescent="0.3">
      <c r="A29" s="63"/>
      <c r="B29" s="63"/>
      <c r="C29" s="63"/>
      <c r="D29" s="63"/>
    </row>
    <row r="30" spans="1:6" x14ac:dyDescent="0.3">
      <c r="C30" s="63"/>
      <c r="D30" s="63"/>
    </row>
    <row r="31" spans="1:6" x14ac:dyDescent="0.3">
      <c r="C31" s="63"/>
      <c r="D31" s="63"/>
    </row>
    <row r="32" spans="1:6" x14ac:dyDescent="0.3">
      <c r="C32" s="63"/>
      <c r="D32" s="63"/>
    </row>
    <row r="33" spans="3:4" x14ac:dyDescent="0.3">
      <c r="C33" s="63"/>
      <c r="D33" s="63"/>
    </row>
  </sheetData>
  <conditionalFormatting sqref="I3:I4">
    <cfRule type="containsText" dxfId="19" priority="12" stopIfTrue="1" operator="containsText" text="p&lt;0.0001">
      <formula>NOT(ISERROR(SEARCH("p&lt;0.0001",I3)))</formula>
    </cfRule>
    <cfRule type="containsText" dxfId="18" priority="17" stopIfTrue="1" operator="containsText" text="p&lt;0.001">
      <formula>NOT(ISERROR(SEARCH("p&lt;0.001",I3)))</formula>
    </cfRule>
    <cfRule type="containsText" dxfId="17" priority="18" stopIfTrue="1" operator="containsText" text="p&lt;0.01">
      <formula>NOT(ISERROR(SEARCH("p&lt;0.01",I3)))</formula>
    </cfRule>
    <cfRule type="containsText" dxfId="16" priority="19" stopIfTrue="1" operator="containsText" text="p&lt;0.05">
      <formula>NOT(ISERROR(SEARCH("p&lt;0.05",I3)))</formula>
    </cfRule>
    <cfRule type="containsText" dxfId="15" priority="20" stopIfTrue="1" operator="containsText" text="p&lt;0.1">
      <formula>NOT(ISERROR(SEARCH("p&lt;0.1",I3)))</formula>
    </cfRule>
  </conditionalFormatting>
  <conditionalFormatting sqref="I5:I6">
    <cfRule type="containsText" dxfId="14" priority="11" stopIfTrue="1" operator="containsText" text="p&lt;0.0001">
      <formula>NOT(ISERROR(SEARCH("p&lt;0.0001",I5)))</formula>
    </cfRule>
    <cfRule type="containsText" dxfId="13" priority="13" stopIfTrue="1" operator="containsText" text="p&lt;0.001">
      <formula>NOT(ISERROR(SEARCH("p&lt;0.001",I5)))</formula>
    </cfRule>
    <cfRule type="containsText" dxfId="12" priority="14" stopIfTrue="1" operator="containsText" text="p&lt;0.01">
      <formula>NOT(ISERROR(SEARCH("p&lt;0.01",I5)))</formula>
    </cfRule>
    <cfRule type="containsText" dxfId="11" priority="15" stopIfTrue="1" operator="containsText" text="p&lt;0.05">
      <formula>NOT(ISERROR(SEARCH("p&lt;0.05",I5)))</formula>
    </cfRule>
    <cfRule type="containsText" dxfId="10" priority="16" stopIfTrue="1" operator="containsText" text="p&lt;0.1">
      <formula>NOT(ISERROR(SEARCH("p&lt;0.1",I5)))</formula>
    </cfRule>
  </conditionalFormatting>
  <conditionalFormatting sqref="I11:I12">
    <cfRule type="containsText" dxfId="9" priority="2" stopIfTrue="1" operator="containsText" text="p&lt;0.0001">
      <formula>NOT(ISERROR(SEARCH("p&lt;0.0001",I11)))</formula>
    </cfRule>
    <cfRule type="containsText" dxfId="8" priority="7" stopIfTrue="1" operator="containsText" text="p&lt;0.001">
      <formula>NOT(ISERROR(SEARCH("p&lt;0.001",I11)))</formula>
    </cfRule>
    <cfRule type="containsText" dxfId="7" priority="8" stopIfTrue="1" operator="containsText" text="p&lt;0.01">
      <formula>NOT(ISERROR(SEARCH("p&lt;0.01",I11)))</formula>
    </cfRule>
    <cfRule type="containsText" dxfId="6" priority="9" stopIfTrue="1" operator="containsText" text="p&lt;0.05">
      <formula>NOT(ISERROR(SEARCH("p&lt;0.05",I11)))</formula>
    </cfRule>
    <cfRule type="containsText" dxfId="5" priority="10" stopIfTrue="1" operator="containsText" text="p&lt;0.1">
      <formula>NOT(ISERROR(SEARCH("p&lt;0.1",I11)))</formula>
    </cfRule>
  </conditionalFormatting>
  <conditionalFormatting sqref="I13:I14">
    <cfRule type="containsText" dxfId="4" priority="1" stopIfTrue="1" operator="containsText" text="p&lt;0.0001">
      <formula>NOT(ISERROR(SEARCH("p&lt;0.0001",I13)))</formula>
    </cfRule>
    <cfRule type="containsText" dxfId="3" priority="3" stopIfTrue="1" operator="containsText" text="p&lt;0.001">
      <formula>NOT(ISERROR(SEARCH("p&lt;0.001",I13)))</formula>
    </cfRule>
    <cfRule type="containsText" dxfId="2" priority="4" stopIfTrue="1" operator="containsText" text="p&lt;0.01">
      <formula>NOT(ISERROR(SEARCH("p&lt;0.01",I13)))</formula>
    </cfRule>
    <cfRule type="containsText" dxfId="1" priority="5" stopIfTrue="1" operator="containsText" text="p&lt;0.05">
      <formula>NOT(ISERROR(SEARCH("p&lt;0.05",I13)))</formula>
    </cfRule>
    <cfRule type="containsText" dxfId="0" priority="6" stopIfTrue="1" operator="containsText" text="p&lt;0.1">
      <formula>NOT(ISERROR(SEARCH("p&lt;0.1",I13)))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K22"/>
  <sheetViews>
    <sheetView showGridLines="0" zoomScale="85" zoomScaleNormal="85" workbookViewId="0">
      <selection activeCell="C3" sqref="C3:C9"/>
    </sheetView>
  </sheetViews>
  <sheetFormatPr defaultColWidth="8.88671875" defaultRowHeight="14.4" x14ac:dyDescent="0.3"/>
  <cols>
    <col min="1" max="1" width="14.109375" style="86" bestFit="1" customWidth="1"/>
    <col min="2" max="2" width="7.109375" style="86" customWidth="1"/>
    <col min="3" max="3" width="12.6640625" style="86" customWidth="1"/>
    <col min="4" max="4" width="11.109375" style="86" customWidth="1"/>
    <col min="5" max="6" width="11.33203125" style="86" customWidth="1"/>
    <col min="7" max="7" width="12.5546875" style="86" customWidth="1"/>
    <col min="8" max="8" width="11.44140625" style="86" customWidth="1"/>
    <col min="9" max="9" width="11.6640625" style="86" customWidth="1"/>
    <col min="10" max="10" width="10.33203125" style="86" customWidth="1"/>
    <col min="11" max="16384" width="8.88671875" style="86"/>
  </cols>
  <sheetData>
    <row r="1" spans="1:11" ht="30" thickBot="1" x14ac:dyDescent="0.35">
      <c r="A1" s="78" t="s">
        <v>42</v>
      </c>
    </row>
    <row r="2" spans="1:11" ht="25.2" customHeight="1" thickTop="1" thickBot="1" x14ac:dyDescent="0.35">
      <c r="A2" s="74" t="s">
        <v>43</v>
      </c>
      <c r="B2" s="74" t="s">
        <v>18</v>
      </c>
      <c r="C2" s="74" t="s">
        <v>78</v>
      </c>
      <c r="D2" s="74" t="s">
        <v>44</v>
      </c>
      <c r="E2" s="74" t="s">
        <v>45</v>
      </c>
      <c r="F2" s="74" t="s">
        <v>3</v>
      </c>
      <c r="G2" s="74" t="s">
        <v>89</v>
      </c>
      <c r="H2" s="74" t="s">
        <v>7</v>
      </c>
      <c r="I2" s="75" t="s">
        <v>36</v>
      </c>
      <c r="J2" s="74" t="s">
        <v>35</v>
      </c>
      <c r="K2" s="90" t="s">
        <v>46</v>
      </c>
    </row>
    <row r="3" spans="1:11" ht="33.6" customHeight="1" thickTop="1" thickBot="1" x14ac:dyDescent="0.35">
      <c r="A3" s="73" t="s">
        <v>12</v>
      </c>
      <c r="B3" s="71" t="s">
        <v>13</v>
      </c>
      <c r="C3" s="73">
        <f>[21]utt_f0_mode_only_b1!C2</f>
        <v>0.47378459260777001</v>
      </c>
      <c r="D3" s="71">
        <f>[21]utt_f0_mode_only_b1!D2</f>
        <v>-0.21728530041517399</v>
      </c>
      <c r="E3" s="71">
        <f>[21]utt_f0_mode_only_b1!E2</f>
        <v>1.1648544856307099</v>
      </c>
      <c r="F3" s="71">
        <f>[21]utt_f0_mode_only_b1!F2</f>
        <v>0.31042696039187001</v>
      </c>
      <c r="G3" s="71">
        <f>[21]utt_f0_mode_only_b1!G2</f>
        <v>1.5262353244372899</v>
      </c>
      <c r="H3" s="72">
        <f>[21]utt_f0_mode_only_b1!H2</f>
        <v>10.0649438716158</v>
      </c>
      <c r="I3" s="124">
        <f>[21]utt_f0_mode_only_b1!I2</f>
        <v>0.15774188884117299</v>
      </c>
      <c r="J3" s="154" t="str">
        <f>IF(I3&lt;0.001, "p &lt; .001", _xlfn.CONCAT("p = ", REPLACE(ROUND(I3, 3),1,2,".")))</f>
        <v>p = .158</v>
      </c>
      <c r="K3" s="91">
        <f t="shared" ref="K3:K8" si="0">C3-D3</f>
        <v>0.69106989302294397</v>
      </c>
    </row>
    <row r="4" spans="1:11" ht="33.6" customHeight="1" thickBot="1" x14ac:dyDescent="0.35">
      <c r="A4" s="70" t="s">
        <v>12</v>
      </c>
      <c r="B4" s="68" t="s">
        <v>14</v>
      </c>
      <c r="C4" s="70">
        <f>[21]utt_f0_mode_only_b1!C3</f>
        <v>0.76097638133650203</v>
      </c>
      <c r="D4" s="68">
        <f>[21]utt_f0_mode_only_b1!D3</f>
        <v>0.20657533600459099</v>
      </c>
      <c r="E4" s="68">
        <f>[21]utt_f0_mode_only_b1!E3</f>
        <v>1.31537742666841</v>
      </c>
      <c r="F4" s="68">
        <f>[21]utt_f0_mode_only_b1!F3</f>
        <v>0.249012898987129</v>
      </c>
      <c r="G4" s="68">
        <f>[21]utt_f0_mode_only_b1!G3</f>
        <v>3.05597173653174</v>
      </c>
      <c r="H4" s="69">
        <f>[21]utt_f0_mode_only_b1!H3</f>
        <v>10.058119813279999</v>
      </c>
      <c r="I4" s="163">
        <f>[21]utt_f0_mode_only_b1!I3</f>
        <v>1.20498765328992E-2</v>
      </c>
      <c r="J4" s="70" t="str">
        <f t="shared" ref="J4:J9" si="1">IF(I4&lt;0.001, "p &lt; .001", _xlfn.CONCAT("p = ", REPLACE(ROUND(I4, 3),1,2,".")))</f>
        <v>p = .012</v>
      </c>
      <c r="K4" s="91">
        <f t="shared" si="0"/>
        <v>0.55440104533191104</v>
      </c>
    </row>
    <row r="5" spans="1:11" ht="33.6" customHeight="1" thickBot="1" x14ac:dyDescent="0.35">
      <c r="A5" s="70" t="s">
        <v>12</v>
      </c>
      <c r="B5" s="68" t="s">
        <v>15</v>
      </c>
      <c r="C5" s="70">
        <f>[21]utt_f0_mode_only_b1!C4</f>
        <v>2.1973305450155798</v>
      </c>
      <c r="D5" s="68">
        <f>[21]utt_f0_mode_only_b1!D4</f>
        <v>1.27086356211134</v>
      </c>
      <c r="E5" s="68">
        <f>[21]utt_f0_mode_only_b1!E4</f>
        <v>3.1237975279198298</v>
      </c>
      <c r="F5" s="68">
        <f>[21]utt_f0_mode_only_b1!F4</f>
        <v>0.41598701688430001</v>
      </c>
      <c r="G5" s="68">
        <f>[21]utt_f0_mode_only_b1!G4</f>
        <v>5.2822094340188004</v>
      </c>
      <c r="H5" s="69">
        <f>[21]utt_f0_mode_only_b1!H4</f>
        <v>10.032741801900899</v>
      </c>
      <c r="I5" s="163">
        <f>[21]utt_f0_mode_only_b1!I4</f>
        <v>3.5265421460791102E-4</v>
      </c>
      <c r="J5" s="70" t="str">
        <f t="shared" si="1"/>
        <v>p &lt; .001</v>
      </c>
      <c r="K5" s="91">
        <f t="shared" si="0"/>
        <v>0.92646698290423979</v>
      </c>
    </row>
    <row r="6" spans="1:11" ht="33.6" customHeight="1" thickBot="1" x14ac:dyDescent="0.35">
      <c r="A6" s="70" t="s">
        <v>13</v>
      </c>
      <c r="B6" s="68" t="s">
        <v>14</v>
      </c>
      <c r="C6" s="70">
        <f>[21]utt_f0_mode_only_b1!C5</f>
        <v>0.28719182728667603</v>
      </c>
      <c r="D6" s="68">
        <f>[21]utt_f0_mode_only_b1!D5</f>
        <v>-0.27619536483468599</v>
      </c>
      <c r="E6" s="68">
        <f>[21]utt_f0_mode_only_b1!E5</f>
        <v>0.85057901940803904</v>
      </c>
      <c r="F6" s="68">
        <f>[21]utt_f0_mode_only_b1!F5</f>
        <v>0.25278098060920201</v>
      </c>
      <c r="G6" s="68">
        <f>[21]utt_f0_mode_only_b1!G5</f>
        <v>1.13612909719134</v>
      </c>
      <c r="H6" s="69">
        <f>[21]utt_f0_mode_only_b1!H5</f>
        <v>9.9796043361084799</v>
      </c>
      <c r="I6" s="163">
        <f>[21]utt_f0_mode_only_b1!I5</f>
        <v>0.28244939184700601</v>
      </c>
      <c r="J6" s="70" t="str">
        <f t="shared" si="1"/>
        <v>p = .282</v>
      </c>
      <c r="K6" s="91">
        <f t="shared" si="0"/>
        <v>0.56338719212136201</v>
      </c>
    </row>
    <row r="7" spans="1:11" ht="33.6" customHeight="1" thickBot="1" x14ac:dyDescent="0.35">
      <c r="A7" s="70" t="s">
        <v>13</v>
      </c>
      <c r="B7" s="68" t="s">
        <v>15</v>
      </c>
      <c r="C7" s="70">
        <f>[21]utt_f0_mode_only_b1!C6</f>
        <v>1.72354596224421</v>
      </c>
      <c r="D7" s="68">
        <f>[21]utt_f0_mode_only_b1!D6</f>
        <v>0.38656275856772898</v>
      </c>
      <c r="E7" s="68">
        <f>[21]utt_f0_mode_only_b1!E6</f>
        <v>3.0605291659206899</v>
      </c>
      <c r="F7" s="68">
        <f>[21]utt_f0_mode_only_b1!F6</f>
        <v>0.60018298528295</v>
      </c>
      <c r="G7" s="68">
        <f>[21]utt_f0_mode_only_b1!G6</f>
        <v>2.87170080543296</v>
      </c>
      <c r="H7" s="69">
        <f>[21]utt_f0_mode_only_b1!H6</f>
        <v>10.0170141611785</v>
      </c>
      <c r="I7" s="163">
        <f>[21]utt_f0_mode_only_b1!I6</f>
        <v>1.6593160095756999E-2</v>
      </c>
      <c r="J7" s="70" t="str">
        <f t="shared" si="1"/>
        <v>p = .017</v>
      </c>
      <c r="K7" s="91">
        <f t="shared" si="0"/>
        <v>1.336983203676481</v>
      </c>
    </row>
    <row r="8" spans="1:11" ht="33" customHeight="1" thickBot="1" x14ac:dyDescent="0.35">
      <c r="A8" s="67" t="s">
        <v>14</v>
      </c>
      <c r="B8" s="65" t="s">
        <v>15</v>
      </c>
      <c r="C8" s="67">
        <f>[21]utt_f0_mode_only_b1!C7</f>
        <v>1.4363541724389</v>
      </c>
      <c r="D8" s="65">
        <f>[21]utt_f0_mode_only_b1!D7</f>
        <v>0.173747886383984</v>
      </c>
      <c r="E8" s="65">
        <f>[21]utt_f0_mode_only_b1!E7</f>
        <v>2.6989604584938198</v>
      </c>
      <c r="F8" s="65">
        <f>[21]utt_f0_mode_only_b1!F7</f>
        <v>0.56700865353228602</v>
      </c>
      <c r="G8" s="65">
        <f>[21]utt_f0_mode_only_b1!G7</f>
        <v>2.5332138468978602</v>
      </c>
      <c r="H8" s="66">
        <f>[21]utt_f0_mode_only_b1!H7</f>
        <v>10.045057726456999</v>
      </c>
      <c r="I8" s="164">
        <f>[21]utt_f0_mode_only_b1!I7</f>
        <v>2.9612571688781501E-2</v>
      </c>
      <c r="J8" s="67" t="str">
        <f t="shared" si="1"/>
        <v>p = .03</v>
      </c>
      <c r="K8" s="91">
        <f t="shared" si="0"/>
        <v>1.2626062860549159</v>
      </c>
    </row>
    <row r="9" spans="1:11" ht="33" customHeight="1" thickBot="1" x14ac:dyDescent="0.35">
      <c r="A9" s="67" t="s">
        <v>75</v>
      </c>
      <c r="B9" s="65" t="s">
        <v>76</v>
      </c>
      <c r="C9" s="67">
        <f>[21]utt_f0_mode_only_b1!C8</f>
        <v>0.126</v>
      </c>
      <c r="D9" s="65">
        <f>[21]utt_f0_mode_only_b1!D8</f>
        <v>-0.16947081719958801</v>
      </c>
      <c r="E9" s="65">
        <f>[21]utt_f0_mode_only_b1!E8</f>
        <v>0.42068783151473998</v>
      </c>
      <c r="F9" s="65">
        <f>[21]utt_f0_mode_only_b1!F8</f>
        <v>0.13100000000000001</v>
      </c>
      <c r="G9" s="65">
        <f>[21]utt_f0_mode_only_b1!G8</f>
        <v>0.96199999999999997</v>
      </c>
      <c r="H9" s="66">
        <f>[21]utt_f0_mode_only_b1!H8</f>
        <v>9.07</v>
      </c>
      <c r="I9" s="164">
        <f>[21]utt_f0_mode_only_b1!I8</f>
        <v>0.36105768886178802</v>
      </c>
      <c r="J9" s="67" t="str">
        <f t="shared" si="1"/>
        <v>p = .361</v>
      </c>
      <c r="K9" s="91">
        <f t="shared" ref="K9" si="2">C9-D9</f>
        <v>0.29547081719958801</v>
      </c>
    </row>
    <row r="10" spans="1:11" x14ac:dyDescent="0.3">
      <c r="A10" s="63" t="s">
        <v>56</v>
      </c>
      <c r="B10" s="64">
        <f>_xlfn.STDEV.S(C3:C8)</f>
        <v>0.75641619868054844</v>
      </c>
      <c r="D10" s="86" t="s">
        <v>59</v>
      </c>
      <c r="E10" s="122">
        <f>_xlfn.VAR.S(C3:C8)</f>
        <v>0.57216546562633097</v>
      </c>
    </row>
    <row r="11" spans="1:11" x14ac:dyDescent="0.3">
      <c r="A11" s="63" t="s">
        <v>57</v>
      </c>
      <c r="B11" s="121">
        <f>AVERAGE(C3:C8)</f>
        <v>1.1465305801549397</v>
      </c>
    </row>
    <row r="12" spans="1:11" ht="33" customHeight="1" thickBot="1" x14ac:dyDescent="0.35">
      <c r="A12" s="78" t="s">
        <v>41</v>
      </c>
    </row>
    <row r="13" spans="1:11" ht="25.2" customHeight="1" thickTop="1" thickBot="1" x14ac:dyDescent="0.35">
      <c r="A13" s="74" t="s">
        <v>43</v>
      </c>
      <c r="B13" s="74" t="s">
        <v>18</v>
      </c>
      <c r="C13" s="74" t="s">
        <v>78</v>
      </c>
      <c r="D13" s="74" t="s">
        <v>44</v>
      </c>
      <c r="E13" s="74" t="s">
        <v>45</v>
      </c>
      <c r="F13" s="74" t="s">
        <v>3</v>
      </c>
      <c r="G13" s="74" t="s">
        <v>89</v>
      </c>
      <c r="H13" s="74" t="s">
        <v>7</v>
      </c>
      <c r="I13" s="75" t="s">
        <v>36</v>
      </c>
      <c r="J13" s="74" t="s">
        <v>35</v>
      </c>
      <c r="K13" s="90" t="s">
        <v>46</v>
      </c>
    </row>
    <row r="14" spans="1:11" ht="33.6" customHeight="1" thickTop="1" thickBot="1" x14ac:dyDescent="0.35">
      <c r="A14" s="73" t="s">
        <v>12</v>
      </c>
      <c r="B14" s="71" t="s">
        <v>13</v>
      </c>
      <c r="C14" s="71">
        <f>[22]utt_slope_mode_only_b1!C2</f>
        <v>-2.42388123109864</v>
      </c>
      <c r="D14" s="71">
        <f>[22]utt_slope_mode_only_b1!D2</f>
        <v>-5.1639179054579003</v>
      </c>
      <c r="E14" s="71">
        <f>[22]utt_slope_mode_only_b1!E2</f>
        <v>0.31615544326061301</v>
      </c>
      <c r="F14" s="71">
        <f>[22]utt_slope_mode_only_b1!F2</f>
        <v>1.22966142177376</v>
      </c>
      <c r="G14" s="71">
        <f>[22]utt_slope_mode_only_b1!G2</f>
        <v>-1.97117774712508</v>
      </c>
      <c r="H14" s="71">
        <f>[22]utt_slope_mode_only_b1!H2</f>
        <v>9.9951482064782198</v>
      </c>
      <c r="I14" s="124">
        <f>[22]utt_slope_mode_only_b1!I2</f>
        <v>7.7007575189590199E-2</v>
      </c>
      <c r="J14" s="73" t="str">
        <f t="shared" ref="J14:J19" si="3">IF(I14&lt;0.001, "p &lt; .001", _xlfn.CONCAT("p = ", REPLACE(ROUND(I14, 3),1,2,".")))</f>
        <v>p = .077</v>
      </c>
      <c r="K14" s="91">
        <f t="shared" ref="K14:K20" si="4">C14-D14</f>
        <v>2.7400366743592603</v>
      </c>
    </row>
    <row r="15" spans="1:11" ht="33.6" customHeight="1" thickBot="1" x14ac:dyDescent="0.35">
      <c r="A15" s="70" t="s">
        <v>12</v>
      </c>
      <c r="B15" s="68" t="s">
        <v>14</v>
      </c>
      <c r="C15" s="68">
        <f>[22]utt_slope_mode_only_b1!C3</f>
        <v>3.5497518552582199</v>
      </c>
      <c r="D15" s="68">
        <f>[22]utt_slope_mode_only_b1!D3</f>
        <v>1.68894791918596</v>
      </c>
      <c r="E15" s="68">
        <f>[22]utt_slope_mode_only_b1!E3</f>
        <v>5.4105557913304798</v>
      </c>
      <c r="F15" s="68">
        <f>[22]utt_slope_mode_only_b1!F3</f>
        <v>0.83497041187126297</v>
      </c>
      <c r="G15" s="68">
        <f>[22]utt_slope_mode_only_b1!G3</f>
        <v>4.2513504727704303</v>
      </c>
      <c r="H15" s="88">
        <f>[22]utt_slope_mode_only_b1!H3</f>
        <v>9.9851969944974392</v>
      </c>
      <c r="I15" s="163">
        <f>[22]utt_slope_mode_only_b1!I3</f>
        <v>1.6915227726735701E-3</v>
      </c>
      <c r="J15" s="70" t="str">
        <f t="shared" si="3"/>
        <v>p = .002</v>
      </c>
      <c r="K15" s="91">
        <f t="shared" si="4"/>
        <v>1.8608039360722599</v>
      </c>
    </row>
    <row r="16" spans="1:11" ht="33.6" customHeight="1" thickBot="1" x14ac:dyDescent="0.35">
      <c r="A16" s="70" t="s">
        <v>12</v>
      </c>
      <c r="B16" s="68" t="s">
        <v>15</v>
      </c>
      <c r="C16" s="68">
        <f>[22]utt_slope_mode_only_b1!C4</f>
        <v>6.60866325868583</v>
      </c>
      <c r="D16" s="68">
        <f>[22]utt_slope_mode_only_b1!D4</f>
        <v>4.03872758741079</v>
      </c>
      <c r="E16" s="68">
        <f>[22]utt_slope_mode_only_b1!E4</f>
        <v>9.1785989299608701</v>
      </c>
      <c r="F16" s="68">
        <f>[22]utt_slope_mode_only_b1!F4</f>
        <v>1.1546821263600899</v>
      </c>
      <c r="G16" s="68">
        <f>[22]utt_slope_mode_only_b1!G4</f>
        <v>5.7233615276598702</v>
      </c>
      <c r="H16" s="88">
        <f>[22]utt_slope_mode_only_b1!H4</f>
        <v>10.0826677081455</v>
      </c>
      <c r="I16" s="163">
        <f>[22]utt_slope_mode_only_b1!I4</f>
        <v>1.86136087748461E-4</v>
      </c>
      <c r="J16" s="70" t="str">
        <f t="shared" si="3"/>
        <v>p &lt; .001</v>
      </c>
      <c r="K16" s="91">
        <f t="shared" si="4"/>
        <v>2.5699356712750401</v>
      </c>
    </row>
    <row r="17" spans="1:11" ht="33.6" customHeight="1" thickBot="1" x14ac:dyDescent="0.35">
      <c r="A17" s="70" t="s">
        <v>13</v>
      </c>
      <c r="B17" s="68" t="s">
        <v>14</v>
      </c>
      <c r="C17" s="68">
        <f>[22]utt_slope_mode_only_b1!C5</f>
        <v>5.9736332606028402</v>
      </c>
      <c r="D17" s="68">
        <f>[22]utt_slope_mode_only_b1!D5</f>
        <v>2.7990538276321999</v>
      </c>
      <c r="E17" s="68">
        <f>[22]utt_slope_mode_only_b1!E5</f>
        <v>9.1482126935734698</v>
      </c>
      <c r="F17" s="68">
        <f>[22]utt_slope_mode_only_b1!F5</f>
        <v>1.4247856711593501</v>
      </c>
      <c r="G17" s="68">
        <f>[22]utt_slope_mode_only_b1!G5</f>
        <v>4.1926539419378503</v>
      </c>
      <c r="H17" s="88">
        <f>[22]utt_slope_mode_only_b1!H5</f>
        <v>10.00095002622</v>
      </c>
      <c r="I17" s="163">
        <f>[22]utt_slope_mode_only_b1!I5</f>
        <v>1.84975937556112E-3</v>
      </c>
      <c r="J17" s="70" t="str">
        <f t="shared" si="3"/>
        <v>p = .002</v>
      </c>
      <c r="K17" s="91">
        <f t="shared" si="4"/>
        <v>3.1745794329706403</v>
      </c>
    </row>
    <row r="18" spans="1:11" ht="33.6" customHeight="1" thickBot="1" x14ac:dyDescent="0.35">
      <c r="A18" s="70" t="s">
        <v>13</v>
      </c>
      <c r="B18" s="68" t="s">
        <v>15</v>
      </c>
      <c r="C18" s="68">
        <f>[22]utt_slope_mode_only_b1!C6</f>
        <v>9.0325449853367594</v>
      </c>
      <c r="D18" s="68">
        <f>[22]utt_slope_mode_only_b1!D6</f>
        <v>5.1073784365764299</v>
      </c>
      <c r="E18" s="68">
        <f>[22]utt_slope_mode_only_b1!E6</f>
        <v>12.957711534096999</v>
      </c>
      <c r="F18" s="68">
        <f>[22]utt_slope_mode_only_b1!F6</f>
        <v>1.76225026124493</v>
      </c>
      <c r="G18" s="68">
        <f>[22]utt_slope_mode_only_b1!G6</f>
        <v>5.1255744907398997</v>
      </c>
      <c r="H18" s="88">
        <f>[22]utt_slope_mode_only_b1!H6</f>
        <v>10.0258476233798</v>
      </c>
      <c r="I18" s="163">
        <f>[22]utt_slope_mode_only_b1!I6</f>
        <v>4.4341100027380599E-4</v>
      </c>
      <c r="J18" s="70" t="str">
        <f t="shared" si="3"/>
        <v>p &lt; .001</v>
      </c>
      <c r="K18" s="91">
        <f t="shared" si="4"/>
        <v>3.9251665487603296</v>
      </c>
    </row>
    <row r="19" spans="1:11" ht="33.6" customHeight="1" thickBot="1" x14ac:dyDescent="0.35">
      <c r="A19" s="67" t="s">
        <v>14</v>
      </c>
      <c r="B19" s="65" t="s">
        <v>15</v>
      </c>
      <c r="C19" s="65">
        <f>[22]utt_slope_mode_only_b1!C7</f>
        <v>3.0589118485968601</v>
      </c>
      <c r="D19" s="65">
        <f>[22]utt_slope_mode_only_b1!D7</f>
        <v>1.2110793880900199</v>
      </c>
      <c r="E19" s="65">
        <f>[22]utt_slope_mode_only_b1!E7</f>
        <v>4.9067443091036997</v>
      </c>
      <c r="F19" s="65">
        <f>[22]utt_slope_mode_only_b1!F7</f>
        <v>0.828038061593664</v>
      </c>
      <c r="G19" s="65">
        <f>[22]utt_slope_mode_only_b1!G7</f>
        <v>3.6941681674748099</v>
      </c>
      <c r="H19" s="87">
        <f>[22]utt_slope_mode_only_b1!H7</f>
        <v>9.8875289692457606</v>
      </c>
      <c r="I19" s="164">
        <f>[22]utt_slope_mode_only_b1!I7</f>
        <v>4.2283106167244396E-3</v>
      </c>
      <c r="J19" s="67" t="str">
        <f t="shared" si="3"/>
        <v>p = .004</v>
      </c>
      <c r="K19" s="91">
        <f t="shared" si="4"/>
        <v>1.8478324605068401</v>
      </c>
    </row>
    <row r="20" spans="1:11" ht="33.6" customHeight="1" thickBot="1" x14ac:dyDescent="0.35">
      <c r="A20" s="67" t="s">
        <v>75</v>
      </c>
      <c r="B20" s="65" t="s">
        <v>76</v>
      </c>
      <c r="C20" s="65">
        <f>[22]utt_slope_mode_only_b1!C8</f>
        <v>1.454</v>
      </c>
      <c r="D20" s="65">
        <f>[22]utt_slope_mode_only_b1!D8</f>
        <v>0.34926829005161703</v>
      </c>
      <c r="E20" s="65">
        <f>[22]utt_slope_mode_only_b1!E8</f>
        <v>2.5589229280695598</v>
      </c>
      <c r="F20" s="65">
        <f>[22]utt_slope_mode_only_b1!F8</f>
        <v>0.48899999999999999</v>
      </c>
      <c r="G20" s="65">
        <f>[22]utt_slope_mode_only_b1!G8</f>
        <v>2.9740000000000002</v>
      </c>
      <c r="H20" s="66">
        <f>[22]utt_slope_mode_only_b1!H8</f>
        <v>9.07</v>
      </c>
      <c r="I20" s="164">
        <f>[22]utt_slope_mode_only_b1!I8</f>
        <v>1.5474208938682401E-2</v>
      </c>
      <c r="J20" s="67" t="str">
        <f>IF(I20&lt;0.001, "p &lt; .001", _xlfn.CONCAT("p = ", REPLACE(ROUND(I20, 3),1,2,".")))</f>
        <v>p = .015</v>
      </c>
      <c r="K20" s="91">
        <f t="shared" si="4"/>
        <v>1.1047317099483829</v>
      </c>
    </row>
    <row r="21" spans="1:11" x14ac:dyDescent="0.3">
      <c r="A21" s="63" t="s">
        <v>56</v>
      </c>
      <c r="B21" s="64">
        <f>_xlfn.STDEV.S(C14:C19)</f>
        <v>3.9456737633979548</v>
      </c>
      <c r="D21" s="86" t="s">
        <v>59</v>
      </c>
      <c r="E21" s="122">
        <f>_xlfn.VAR.S(C14:C19)</f>
        <v>15.568341447166981</v>
      </c>
    </row>
    <row r="22" spans="1:11" x14ac:dyDescent="0.3">
      <c r="A22" s="63" t="s">
        <v>57</v>
      </c>
      <c r="B22" s="121">
        <f>AVERAGE(C14:C19)</f>
        <v>4.2999373295636447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31"/>
  <sheetViews>
    <sheetView showGridLines="0" topLeftCell="A2" zoomScale="85" zoomScaleNormal="85" workbookViewId="0">
      <selection activeCell="C3" sqref="C3:C9"/>
    </sheetView>
  </sheetViews>
  <sheetFormatPr defaultColWidth="8.88671875" defaultRowHeight="14.4" x14ac:dyDescent="0.3"/>
  <cols>
    <col min="1" max="1" width="14.109375" style="86" bestFit="1" customWidth="1"/>
    <col min="2" max="2" width="7.109375" style="86" customWidth="1"/>
    <col min="3" max="3" width="12.6640625" style="86" customWidth="1"/>
    <col min="4" max="4" width="11.109375" style="86" customWidth="1"/>
    <col min="5" max="6" width="11.33203125" style="86" customWidth="1"/>
    <col min="7" max="7" width="12.5546875" style="86" customWidth="1"/>
    <col min="8" max="8" width="11.44140625" style="86" customWidth="1"/>
    <col min="9" max="9" width="11.6640625" style="86" customWidth="1"/>
    <col min="10" max="10" width="10.33203125" style="86" customWidth="1"/>
    <col min="11" max="11" width="8.88671875" style="86"/>
    <col min="12" max="12" width="8.88671875" style="146"/>
    <col min="13" max="16384" width="8.88671875" style="86"/>
  </cols>
  <sheetData>
    <row r="1" spans="1:12" ht="30" thickBot="1" x14ac:dyDescent="0.35">
      <c r="A1" s="78" t="s">
        <v>42</v>
      </c>
      <c r="B1" s="85" t="s">
        <v>55</v>
      </c>
    </row>
    <row r="2" spans="1:12" ht="25.2" customHeight="1" thickTop="1" thickBot="1" x14ac:dyDescent="0.35">
      <c r="A2" s="74" t="s">
        <v>43</v>
      </c>
      <c r="B2" s="74" t="s">
        <v>18</v>
      </c>
      <c r="C2" s="74" t="s">
        <v>78</v>
      </c>
      <c r="D2" s="74" t="s">
        <v>44</v>
      </c>
      <c r="E2" s="74" t="s">
        <v>45</v>
      </c>
      <c r="F2" s="74" t="s">
        <v>3</v>
      </c>
      <c r="G2" s="74" t="s">
        <v>37</v>
      </c>
      <c r="H2" s="74" t="s">
        <v>7</v>
      </c>
      <c r="I2" s="75" t="s">
        <v>36</v>
      </c>
      <c r="J2" s="74" t="s">
        <v>35</v>
      </c>
      <c r="K2" s="90" t="s">
        <v>46</v>
      </c>
      <c r="L2" s="146" t="s">
        <v>74</v>
      </c>
    </row>
    <row r="3" spans="1:12" ht="33.6" customHeight="1" thickTop="1" thickBot="1" x14ac:dyDescent="0.35">
      <c r="A3" s="73" t="s">
        <v>12</v>
      </c>
      <c r="B3" s="71" t="s">
        <v>13</v>
      </c>
      <c r="C3" s="73">
        <f>[23]utt_f0_full_phon_b1!C2</f>
        <v>0.40351143034436199</v>
      </c>
      <c r="D3" s="71">
        <f>[23]utt_f0_full_phon_b1!D2</f>
        <v>-0.27396042719042801</v>
      </c>
      <c r="E3" s="71">
        <f>[23]utt_f0_full_phon_b1!E2</f>
        <v>1.0809832878791501</v>
      </c>
      <c r="F3" s="71">
        <f>[23]utt_f0_full_phon_b1!F2</f>
        <v>0.306797267928064</v>
      </c>
      <c r="G3" s="71">
        <f>[23]utt_f0_full_phon_b1!G2</f>
        <v>1.3152380171748199</v>
      </c>
      <c r="H3" s="71">
        <f>[23]utt_f0_full_phon_b1!H2</f>
        <v>10.712753972400799</v>
      </c>
      <c r="I3" s="124">
        <f>[23]utt_f0_full_phon_b1!I2</f>
        <v>0.21588542192417601</v>
      </c>
      <c r="J3" s="154" t="str">
        <f>IF(I3&lt;0.001, "p &lt; .001", _xlfn.CONCAT("p = ", REPLACE(ROUND(I3, 3),1,2,".")))</f>
        <v>p = .216</v>
      </c>
      <c r="K3" s="91">
        <f t="shared" ref="K3:K9" si="0">C3-D3</f>
        <v>0.67747185753479</v>
      </c>
      <c r="L3" s="147">
        <f>C3-'Utt Mode b1'!C3</f>
        <v>-7.0273162263408018E-2</v>
      </c>
    </row>
    <row r="4" spans="1:12" ht="33.6" customHeight="1" thickBot="1" x14ac:dyDescent="0.35">
      <c r="A4" s="70" t="s">
        <v>12</v>
      </c>
      <c r="B4" s="68" t="s">
        <v>14</v>
      </c>
      <c r="C4" s="70">
        <f>[23]utt_f0_full_phon_b1!C3</f>
        <v>0.58589431295815897</v>
      </c>
      <c r="D4" s="68">
        <f>[23]utt_f0_full_phon_b1!D3</f>
        <v>0.110898801323411</v>
      </c>
      <c r="E4" s="68">
        <f>[23]utt_f0_full_phon_b1!E3</f>
        <v>1.0608898245928999</v>
      </c>
      <c r="F4" s="68">
        <f>[23]utt_f0_full_phon_b1!F3</f>
        <v>0.21573646461859899</v>
      </c>
      <c r="G4" s="68">
        <f>[23]utt_f0_full_phon_b1!G3</f>
        <v>2.7157871247865302</v>
      </c>
      <c r="H4" s="88">
        <f>[23]utt_f0_full_phon_b1!H3</f>
        <v>10.9691929623917</v>
      </c>
      <c r="I4" s="163">
        <f>[23]utt_f0_full_phon_b1!I3</f>
        <v>2.0127420658882501E-2</v>
      </c>
      <c r="J4" s="70" t="str">
        <f t="shared" ref="J4:J9" si="1">IF(I4&lt;0.001, "p &lt; .001", _xlfn.CONCAT("p = ", REPLACE(ROUND(I4, 3),1,2,".")))</f>
        <v>p = .02</v>
      </c>
      <c r="K4" s="91">
        <f t="shared" si="0"/>
        <v>0.47499551163474796</v>
      </c>
      <c r="L4" s="147">
        <f>C4-'Utt Mode b1'!C4</f>
        <v>-0.17508206837834306</v>
      </c>
    </row>
    <row r="5" spans="1:12" ht="33.6" customHeight="1" thickBot="1" x14ac:dyDescent="0.35">
      <c r="A5" s="70" t="s">
        <v>12</v>
      </c>
      <c r="B5" s="68" t="s">
        <v>15</v>
      </c>
      <c r="C5" s="70">
        <f>[23]utt_f0_full_phon_b1!C4</f>
        <v>1.84223688012531</v>
      </c>
      <c r="D5" s="68">
        <f>[23]utt_f0_full_phon_b1!D4</f>
        <v>0.93614084005223597</v>
      </c>
      <c r="E5" s="68">
        <f>[23]utt_f0_full_phon_b1!E4</f>
        <v>2.7483329201983899</v>
      </c>
      <c r="F5" s="68">
        <f>[23]utt_f0_full_phon_b1!F4</f>
        <v>0.41386317724265598</v>
      </c>
      <c r="G5" s="68">
        <f>[23]utt_f0_full_phon_b1!G4</f>
        <v>4.4513186517320298</v>
      </c>
      <c r="H5" s="88">
        <f>[23]utt_f0_full_phon_b1!H4</f>
        <v>11.5002058865102</v>
      </c>
      <c r="I5" s="163">
        <f>[23]utt_f0_full_phon_b1!I4</f>
        <v>8.7664353876482895E-4</v>
      </c>
      <c r="J5" s="70" t="str">
        <f t="shared" si="1"/>
        <v>p &lt; .001</v>
      </c>
      <c r="K5" s="91">
        <f t="shared" si="0"/>
        <v>0.90609604007307398</v>
      </c>
      <c r="L5" s="147">
        <f>C5-'Utt Mode b1'!C5</f>
        <v>-0.35509366489026983</v>
      </c>
    </row>
    <row r="6" spans="1:12" ht="33.6" customHeight="1" thickBot="1" x14ac:dyDescent="0.35">
      <c r="A6" s="70" t="s">
        <v>13</v>
      </c>
      <c r="B6" s="68" t="s">
        <v>14</v>
      </c>
      <c r="C6" s="70">
        <f>[23]utt_f0_full_phon_b1!C5</f>
        <v>0.182381465988318</v>
      </c>
      <c r="D6" s="68">
        <f>[23]utt_f0_full_phon_b1!D5</f>
        <v>-0.37755061067474699</v>
      </c>
      <c r="E6" s="68">
        <f>[23]utt_f0_full_phon_b1!E5</f>
        <v>0.74231354265138405</v>
      </c>
      <c r="F6" s="68">
        <f>[23]utt_f0_full_phon_b1!F5</f>
        <v>0.25964227752621599</v>
      </c>
      <c r="G6" s="68">
        <f>[23]utt_f0_full_phon_b1!G5</f>
        <v>0.70243362416162203</v>
      </c>
      <c r="H6" s="88">
        <f>[23]utt_f0_full_phon_b1!H5</f>
        <v>13.2303086445473</v>
      </c>
      <c r="I6" s="163">
        <f>[23]utt_f0_full_phon_b1!I5</f>
        <v>0.49458275822104902</v>
      </c>
      <c r="J6" s="70" t="str">
        <f t="shared" si="1"/>
        <v>p = .495</v>
      </c>
      <c r="K6" s="91">
        <f t="shared" si="0"/>
        <v>0.55993207666306499</v>
      </c>
      <c r="L6" s="147">
        <f>C6-'Utt Mode b1'!C6</f>
        <v>-0.10481036129835802</v>
      </c>
    </row>
    <row r="7" spans="1:12" ht="33.6" customHeight="1" thickBot="1" x14ac:dyDescent="0.35">
      <c r="A7" s="70" t="s">
        <v>13</v>
      </c>
      <c r="B7" s="68" t="s">
        <v>15</v>
      </c>
      <c r="C7" s="70">
        <f>[23]utt_f0_full_phon_b1!C6</f>
        <v>1.4387253254113199</v>
      </c>
      <c r="D7" s="68">
        <f>[23]utt_f0_full_phon_b1!D6</f>
        <v>0.10632728206222</v>
      </c>
      <c r="E7" s="68">
        <f>[23]utt_f0_full_phon_b1!E6</f>
        <v>2.77112336876043</v>
      </c>
      <c r="F7" s="68">
        <f>[23]utt_f0_full_phon_b1!F6</f>
        <v>0.60632171251677303</v>
      </c>
      <c r="G7" s="68">
        <f>[23]utt_f0_full_phon_b1!G6</f>
        <v>2.3728744917270701</v>
      </c>
      <c r="H7" s="88">
        <f>[23]utt_f0_full_phon_b1!H6</f>
        <v>11.144429001363299</v>
      </c>
      <c r="I7" s="163">
        <f>[23]utt_f0_full_phon_b1!I6</f>
        <v>3.6690705963456798E-2</v>
      </c>
      <c r="J7" s="70" t="str">
        <f t="shared" si="1"/>
        <v>p = .037</v>
      </c>
      <c r="K7" s="91">
        <f t="shared" si="0"/>
        <v>1.3323980433490998</v>
      </c>
      <c r="L7" s="147">
        <f>C7-'Utt Mode b1'!C7</f>
        <v>-0.28482063683289005</v>
      </c>
    </row>
    <row r="8" spans="1:12" ht="33.6" customHeight="1" thickBot="1" x14ac:dyDescent="0.35">
      <c r="A8" s="67" t="s">
        <v>14</v>
      </c>
      <c r="B8" s="65" t="s">
        <v>15</v>
      </c>
      <c r="C8" s="67">
        <f>[23]utt_f0_full_phon_b1!C7</f>
        <v>1.2563404154848301</v>
      </c>
      <c r="D8" s="65">
        <f>[23]utt_f0_full_phon_b1!D7</f>
        <v>8.1637498123219895E-2</v>
      </c>
      <c r="E8" s="65">
        <f>[23]utt_f0_full_phon_b1!E7</f>
        <v>2.4310433328464498</v>
      </c>
      <c r="F8" s="65">
        <f>[23]utt_f0_full_phon_b1!F7</f>
        <v>0.52890422265189097</v>
      </c>
      <c r="G8" s="65">
        <f>[23]utt_f0_full_phon_b1!G7</f>
        <v>2.3753646911450699</v>
      </c>
      <c r="H8" s="87">
        <f>[23]utt_f0_full_phon_b1!H7</f>
        <v>10.2423725986098</v>
      </c>
      <c r="I8" s="164">
        <f>[23]utt_f0_full_phon_b1!I7</f>
        <v>3.83653893821422E-2</v>
      </c>
      <c r="J8" s="67" t="str">
        <f t="shared" si="1"/>
        <v>p = .038</v>
      </c>
      <c r="K8" s="91">
        <f t="shared" si="0"/>
        <v>1.1747029173616101</v>
      </c>
      <c r="L8" s="147">
        <f>C8-'Utt Mode b1'!C8</f>
        <v>-0.18001375695406985</v>
      </c>
    </row>
    <row r="9" spans="1:12" ht="33.6" customHeight="1" thickBot="1" x14ac:dyDescent="0.35">
      <c r="A9" s="67" t="s">
        <v>75</v>
      </c>
      <c r="B9" s="65" t="s">
        <v>76</v>
      </c>
      <c r="C9" s="67">
        <f>[23]utt_f0_full_phon_b1!C8</f>
        <v>0.79535334972826299</v>
      </c>
      <c r="D9" s="65">
        <f>[23]utt_f0_full_phon_b1!D8</f>
        <v>0.44300719568382202</v>
      </c>
      <c r="E9" s="65">
        <f>[23]utt_f0_full_phon_b1!E8</f>
        <v>1.1476995037727</v>
      </c>
      <c r="F9" s="65">
        <f>[23]utt_f0_full_phon_b1!F8</f>
        <v>0.178594668495098</v>
      </c>
      <c r="G9" s="65">
        <f>[23]utt_f0_full_phon_b1!G8</f>
        <v>4.4533991771993504</v>
      </c>
      <c r="H9" s="87">
        <f>[23]utt_f0_full_phon_b1!H8</f>
        <v>184.83268043244499</v>
      </c>
      <c r="I9" s="164">
        <f>[23]utt_f0_full_phon_b1!I8</f>
        <v>1.4602699599024699E-5</v>
      </c>
      <c r="J9" s="67" t="str">
        <f t="shared" si="1"/>
        <v>p &lt; .001</v>
      </c>
      <c r="K9" s="91">
        <f t="shared" si="0"/>
        <v>0.35234615404444097</v>
      </c>
      <c r="L9" s="147"/>
    </row>
    <row r="10" spans="1:12" x14ac:dyDescent="0.3">
      <c r="A10" s="63" t="s">
        <v>56</v>
      </c>
      <c r="B10" s="64">
        <f>_xlfn.STDEV.S(C3:C8)</f>
        <v>0.65562652404191735</v>
      </c>
      <c r="D10" s="86" t="s">
        <v>59</v>
      </c>
      <c r="E10" s="122">
        <f>_xlfn.VAR.S(C3:C8)</f>
        <v>0.4298461390272868</v>
      </c>
      <c r="G10" s="80" t="s">
        <v>62</v>
      </c>
      <c r="H10" s="123">
        <f>'Utt Mode+ b1'!B10-'Utt Mode b1'!B10</f>
        <v>-0.10078967463863109</v>
      </c>
      <c r="J10" s="123">
        <f>'Utt Mode+ b1'!E10-'Utt Mode b1'!E10</f>
        <v>-0.14231932659904417</v>
      </c>
    </row>
    <row r="11" spans="1:12" x14ac:dyDescent="0.3">
      <c r="A11" s="63" t="s">
        <v>57</v>
      </c>
      <c r="B11" s="121">
        <f>AVERAGE(C3:C8)</f>
        <v>0.95151497171871657</v>
      </c>
      <c r="G11" s="80" t="s">
        <v>63</v>
      </c>
      <c r="H11" s="123">
        <f>'Utt Mode+ b1'!B11-'Utt Mode b1'!B11</f>
        <v>-0.19501560843622312</v>
      </c>
    </row>
    <row r="12" spans="1:12" ht="33" customHeight="1" thickBot="1" x14ac:dyDescent="0.35">
      <c r="A12" s="78" t="s">
        <v>41</v>
      </c>
      <c r="B12" s="85" t="s">
        <v>55</v>
      </c>
    </row>
    <row r="13" spans="1:12" ht="25.2" customHeight="1" thickTop="1" thickBot="1" x14ac:dyDescent="0.35">
      <c r="A13" s="74" t="s">
        <v>43</v>
      </c>
      <c r="B13" s="74" t="s">
        <v>18</v>
      </c>
      <c r="C13" s="74" t="s">
        <v>79</v>
      </c>
      <c r="D13" s="74" t="s">
        <v>44</v>
      </c>
      <c r="E13" s="74" t="s">
        <v>45</v>
      </c>
      <c r="F13" s="74" t="s">
        <v>3</v>
      </c>
      <c r="G13" s="74" t="s">
        <v>89</v>
      </c>
      <c r="H13" s="74" t="s">
        <v>7</v>
      </c>
      <c r="I13" s="75" t="s">
        <v>36</v>
      </c>
      <c r="J13" s="74" t="s">
        <v>35</v>
      </c>
      <c r="K13" s="90" t="s">
        <v>46</v>
      </c>
    </row>
    <row r="14" spans="1:12" ht="33.6" customHeight="1" thickTop="1" thickBot="1" x14ac:dyDescent="0.35">
      <c r="A14" s="73" t="s">
        <v>12</v>
      </c>
      <c r="B14" s="71" t="s">
        <v>13</v>
      </c>
      <c r="C14" s="71">
        <f>[24]utt_slope_full_phon_b1!C2</f>
        <v>-2.1156899611068098</v>
      </c>
      <c r="D14" s="71">
        <f>[24]utt_slope_full_phon_b1!D2</f>
        <v>-4.9029766179269698</v>
      </c>
      <c r="E14" s="71">
        <f>[24]utt_slope_full_phon_b1!E2</f>
        <v>0.67159669571333702</v>
      </c>
      <c r="F14" s="71">
        <f>[24]utt_slope_full_phon_b1!F2</f>
        <v>1.2528641209490601</v>
      </c>
      <c r="G14" s="71">
        <f>[24]utt_slope_full_phon_b1!G2</f>
        <v>-1.6886826956973999</v>
      </c>
      <c r="H14" s="71">
        <f>[24]utt_slope_full_phon_b1!H2</f>
        <v>10.1142548945288</v>
      </c>
      <c r="I14" s="124">
        <f>[24]utt_slope_full_phon_b1!I2</f>
        <v>0.12182289945963599</v>
      </c>
      <c r="J14" s="154" t="str">
        <f>IF(I14&lt;0.001, "p &lt; .001", _xlfn.CONCAT("p = ", REPLACE(ROUND(I14, 3),1,2,".")))</f>
        <v>p = .122</v>
      </c>
      <c r="K14" s="91">
        <f t="shared" ref="K14:K20" si="2">C14-D14</f>
        <v>2.78728665682016</v>
      </c>
      <c r="L14" s="147">
        <f>C14-'Utt Mode b1'!C14</f>
        <v>0.30819126999183011</v>
      </c>
    </row>
    <row r="15" spans="1:12" ht="33.6" customHeight="1" thickBot="1" x14ac:dyDescent="0.35">
      <c r="A15" s="70" t="s">
        <v>12</v>
      </c>
      <c r="B15" s="68" t="s">
        <v>14</v>
      </c>
      <c r="C15" s="68">
        <f>[24]utt_slope_full_phon_b1!C3</f>
        <v>2.9480659025186999</v>
      </c>
      <c r="D15" s="68">
        <f>[24]utt_slope_full_phon_b1!D3</f>
        <v>1.30809311967063</v>
      </c>
      <c r="E15" s="68">
        <f>[24]utt_slope_full_phon_b1!E3</f>
        <v>4.5880386853667803</v>
      </c>
      <c r="F15" s="68">
        <f>[24]utt_slope_full_phon_b1!F3</f>
        <v>0.73723209394531797</v>
      </c>
      <c r="G15" s="68">
        <f>[24]utt_slope_full_phon_b1!G3</f>
        <v>3.9988301197551599</v>
      </c>
      <c r="H15" s="88">
        <f>[24]utt_slope_full_phon_b1!H3</f>
        <v>10.1221354625205</v>
      </c>
      <c r="I15" s="163">
        <f>[24]utt_slope_full_phon_b1!I3</f>
        <v>2.4629530996663901E-3</v>
      </c>
      <c r="J15" s="70" t="str">
        <f t="shared" ref="J15:J20" si="3">IF(I15&lt;0.001, "p &lt; .001", _xlfn.CONCAT("p = ", REPLACE(ROUND(I15, 3),1,2,".")))</f>
        <v>p = .002</v>
      </c>
      <c r="K15" s="91">
        <f t="shared" si="2"/>
        <v>1.6399727828480699</v>
      </c>
      <c r="L15" s="147">
        <f>C15-'Utt Mode b1'!C15</f>
        <v>-0.60168595273951997</v>
      </c>
    </row>
    <row r="16" spans="1:12" ht="33.6" customHeight="1" thickBot="1" x14ac:dyDescent="0.35">
      <c r="A16" s="70" t="s">
        <v>12</v>
      </c>
      <c r="B16" s="68" t="s">
        <v>15</v>
      </c>
      <c r="C16" s="68">
        <f>[24]utt_slope_full_phon_b1!C4</f>
        <v>5.2142843855174696</v>
      </c>
      <c r="D16" s="68">
        <f>[24]utt_slope_full_phon_b1!D4</f>
        <v>3.0843436963088502</v>
      </c>
      <c r="E16" s="68">
        <f>[24]utt_slope_full_phon_b1!E4</f>
        <v>7.34422507472609</v>
      </c>
      <c r="F16" s="68">
        <f>[24]utt_slope_full_phon_b1!F4</f>
        <v>0.96427989363128197</v>
      </c>
      <c r="G16" s="68">
        <f>[24]utt_slope_full_phon_b1!G4</f>
        <v>5.4074386699919001</v>
      </c>
      <c r="H16" s="88">
        <f>[24]utt_slope_full_phon_b1!H4</f>
        <v>10.688339117777501</v>
      </c>
      <c r="I16" s="163">
        <f>[24]utt_slope_full_phon_b1!I4</f>
        <v>2.36752670844248E-4</v>
      </c>
      <c r="J16" s="70" t="str">
        <f t="shared" si="3"/>
        <v>p &lt; .001</v>
      </c>
      <c r="K16" s="91">
        <f t="shared" si="2"/>
        <v>2.1299406892086195</v>
      </c>
      <c r="L16" s="147">
        <f>C16-'Utt Mode b1'!C16</f>
        <v>-1.3943788731683604</v>
      </c>
    </row>
    <row r="17" spans="1:12" ht="33.6" customHeight="1" thickBot="1" x14ac:dyDescent="0.35">
      <c r="A17" s="70" t="s">
        <v>13</v>
      </c>
      <c r="B17" s="68" t="s">
        <v>14</v>
      </c>
      <c r="C17" s="68">
        <f>[24]utt_slope_full_phon_b1!C5</f>
        <v>5.06375732966145</v>
      </c>
      <c r="D17" s="68">
        <f>[24]utt_slope_full_phon_b1!D5</f>
        <v>2.10543264299073</v>
      </c>
      <c r="E17" s="68">
        <f>[24]utt_slope_full_phon_b1!E5</f>
        <v>8.0220820163321598</v>
      </c>
      <c r="F17" s="68">
        <f>[24]utt_slope_full_phon_b1!F5</f>
        <v>1.33197668969453</v>
      </c>
      <c r="G17" s="68">
        <f>[24]utt_slope_full_phon_b1!G5</f>
        <v>3.8016861472423402</v>
      </c>
      <c r="H17" s="88">
        <f>[24]utt_slope_full_phon_b1!H5</f>
        <v>10.2426941822535</v>
      </c>
      <c r="I17" s="163">
        <f>[24]utt_slope_full_phon_b1!I5</f>
        <v>3.33019316758469E-3</v>
      </c>
      <c r="J17" s="70" t="str">
        <f t="shared" si="3"/>
        <v>p = .003</v>
      </c>
      <c r="K17" s="91">
        <f t="shared" si="2"/>
        <v>2.95832468667072</v>
      </c>
      <c r="L17" s="147">
        <f>C17-'Utt Mode b1'!C17</f>
        <v>-0.90987593094139019</v>
      </c>
    </row>
    <row r="18" spans="1:12" ht="33.6" customHeight="1" thickBot="1" x14ac:dyDescent="0.35">
      <c r="A18" s="70" t="s">
        <v>13</v>
      </c>
      <c r="B18" s="68" t="s">
        <v>15</v>
      </c>
      <c r="C18" s="68">
        <f>[24]utt_slope_full_phon_b1!C6</f>
        <v>7.3299732847251899</v>
      </c>
      <c r="D18" s="68">
        <f>[24]utt_slope_full_phon_b1!D6</f>
        <v>3.71011375272934</v>
      </c>
      <c r="E18" s="68">
        <f>[24]utt_slope_full_phon_b1!E6</f>
        <v>10.949832816721001</v>
      </c>
      <c r="F18" s="68">
        <f>[24]utt_slope_full_phon_b1!F6</f>
        <v>1.6329226990608301</v>
      </c>
      <c r="G18" s="68">
        <f>[24]utt_slope_full_phon_b1!G6</f>
        <v>4.4888672862107697</v>
      </c>
      <c r="H18" s="88">
        <f>[24]utt_slope_full_phon_b1!H6</f>
        <v>10.3920268521652</v>
      </c>
      <c r="I18" s="163">
        <f>[24]utt_slope_full_phon_b1!I6</f>
        <v>1.0568385904583301E-3</v>
      </c>
      <c r="J18" s="70" t="str">
        <f t="shared" si="3"/>
        <v>p = .001</v>
      </c>
      <c r="K18" s="91">
        <f t="shared" si="2"/>
        <v>3.61985953199585</v>
      </c>
      <c r="L18" s="147">
        <f>C18-'Utt Mode b1'!C18</f>
        <v>-1.7025717006115695</v>
      </c>
    </row>
    <row r="19" spans="1:12" ht="33.6" customHeight="1" thickBot="1" x14ac:dyDescent="0.35">
      <c r="A19" s="67" t="s">
        <v>14</v>
      </c>
      <c r="B19" s="65" t="s">
        <v>15</v>
      </c>
      <c r="C19" s="65">
        <f>[24]utt_slope_full_phon_b1!C7</f>
        <v>2.2662133061789498</v>
      </c>
      <c r="D19" s="65">
        <f>[24]utt_slope_full_phon_b1!D7</f>
        <v>0.72494945569991098</v>
      </c>
      <c r="E19" s="65">
        <f>[24]utt_slope_full_phon_b1!E7</f>
        <v>3.8074771566579901</v>
      </c>
      <c r="F19" s="65">
        <f>[24]utt_slope_full_phon_b1!F7</f>
        <v>0.69174592571489901</v>
      </c>
      <c r="G19" s="65">
        <f>[24]utt_slope_full_phon_b1!G7</f>
        <v>3.2760775624907099</v>
      </c>
      <c r="H19" s="87">
        <f>[24]utt_slope_full_phon_b1!H7</f>
        <v>10.002016633240601</v>
      </c>
      <c r="I19" s="164">
        <f>[24]utt_slope_full_phon_b1!I7</f>
        <v>8.3419113492021104E-3</v>
      </c>
      <c r="J19" s="67" t="str">
        <f t="shared" si="3"/>
        <v>p = .008</v>
      </c>
      <c r="K19" s="91">
        <f t="shared" si="2"/>
        <v>1.5412638504790388</v>
      </c>
      <c r="L19" s="147">
        <f>C19-'Utt Mode b1'!C19</f>
        <v>-0.79269854241791027</v>
      </c>
    </row>
    <row r="20" spans="1:12" ht="33.6" customHeight="1" thickBot="1" x14ac:dyDescent="0.35">
      <c r="A20" s="67" t="s">
        <v>75</v>
      </c>
      <c r="B20" s="65" t="s">
        <v>76</v>
      </c>
      <c r="C20" s="65">
        <f>[24]utt_slope_full_phon_b1!C25</f>
        <v>2.387</v>
      </c>
      <c r="D20" s="65">
        <f>[24]utt_slope_full_phon_b1!D25</f>
        <v>1.4515194656289601</v>
      </c>
      <c r="E20" s="65">
        <f>[24]utt_slope_full_phon_b1!E25</f>
        <v>3.3221349206482498</v>
      </c>
      <c r="F20" s="65">
        <f>[24]utt_slope_full_phon_b1!F25</f>
        <v>0.41899999999999998</v>
      </c>
      <c r="G20" s="65">
        <f>[24]utt_slope_full_phon_b1!G25</f>
        <v>5.6920000000000002</v>
      </c>
      <c r="H20" s="66">
        <f>[24]utt_slope_full_phon_b1!H25</f>
        <v>9.92</v>
      </c>
      <c r="I20" s="164">
        <f>[24]utt_slope_full_phon_b1!I25</f>
        <v>2.0676316359542201E-4</v>
      </c>
      <c r="J20" s="67" t="str">
        <f t="shared" si="3"/>
        <v>p &lt; .001</v>
      </c>
      <c r="K20" s="91">
        <f t="shared" si="2"/>
        <v>0.93548053437103995</v>
      </c>
      <c r="L20" s="147"/>
    </row>
    <row r="21" spans="1:12" x14ac:dyDescent="0.3">
      <c r="A21" s="63" t="s">
        <v>56</v>
      </c>
      <c r="B21" s="64">
        <f>_xlfn.STDEV.S(C14:C19)</f>
        <v>3.2680664329446474</v>
      </c>
      <c r="D21" s="86" t="s">
        <v>59</v>
      </c>
      <c r="E21" s="122">
        <f>_xlfn.VAR.S(C14:C19)</f>
        <v>10.680258210139552</v>
      </c>
      <c r="G21" s="80" t="s">
        <v>62</v>
      </c>
      <c r="H21" s="123">
        <f>'Utt Mode+ b1'!B21-'Utt Mode b1'!B21</f>
        <v>-0.67760733045330745</v>
      </c>
      <c r="I21" s="165" t="s">
        <v>77</v>
      </c>
      <c r="J21" s="123">
        <f>'Utt Mode+ b1'!E21-'Utt Mode b1'!E21</f>
        <v>-4.8880832370274288</v>
      </c>
    </row>
    <row r="22" spans="1:12" x14ac:dyDescent="0.3">
      <c r="A22" s="63" t="s">
        <v>57</v>
      </c>
      <c r="B22" s="121">
        <f>AVERAGE(C14:C19)</f>
        <v>3.4511007079158245</v>
      </c>
      <c r="G22" s="86" t="s">
        <v>63</v>
      </c>
      <c r="H22" s="123">
        <f>'Utt Mode+ b1'!B22-'Utt Mode b1'!B22</f>
        <v>-0.84883662164782026</v>
      </c>
    </row>
    <row r="30" spans="1:12" ht="15" thickBot="1" x14ac:dyDescent="0.35"/>
    <row r="31" spans="1:12" x14ac:dyDescent="0.3">
      <c r="A31" s="70"/>
      <c r="B31" s="68"/>
      <c r="C31" s="68"/>
      <c r="D31" s="6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2"/>
  <sheetViews>
    <sheetView showGridLines="0" topLeftCell="A8" zoomScale="130" zoomScaleNormal="130" workbookViewId="0">
      <selection activeCell="J15" sqref="J15"/>
    </sheetView>
  </sheetViews>
  <sheetFormatPr defaultColWidth="9.109375" defaultRowHeight="12" x14ac:dyDescent="0.25"/>
  <cols>
    <col min="1" max="1" width="15.6640625" style="136" bestFit="1" customWidth="1"/>
    <col min="2" max="3" width="8.6640625" style="127" customWidth="1"/>
    <col min="4" max="4" width="2.6640625" style="127" customWidth="1"/>
    <col min="5" max="6" width="8.6640625" style="127" customWidth="1"/>
    <col min="7" max="7" width="2.6640625" style="127" customWidth="1"/>
    <col min="8" max="9" width="8.6640625" style="127" customWidth="1"/>
    <col min="10" max="10" width="9.109375" style="127"/>
    <col min="11" max="11" width="15.6640625" style="127" bestFit="1" customWidth="1"/>
    <col min="12" max="12" width="8.33203125" style="127" customWidth="1"/>
    <col min="13" max="13" width="2.6640625" style="127" customWidth="1"/>
    <col min="14" max="15" width="8.33203125" style="127" customWidth="1"/>
    <col min="16" max="16" width="2.6640625" style="127" customWidth="1"/>
    <col min="17" max="17" width="8.33203125" style="127" customWidth="1"/>
    <col min="18" max="16384" width="9.109375" style="127"/>
  </cols>
  <sheetData>
    <row r="1" spans="1:17" ht="12.6" thickBot="1" x14ac:dyDescent="0.3">
      <c r="A1" s="138"/>
      <c r="B1" s="139"/>
      <c r="C1" s="139"/>
      <c r="D1" s="139"/>
      <c r="E1" s="139"/>
      <c r="F1" s="139"/>
      <c r="G1" s="139"/>
      <c r="H1" s="139"/>
      <c r="I1" s="139"/>
    </row>
    <row r="2" spans="1:17" ht="15.75" customHeight="1" thickTop="1" thickBot="1" x14ac:dyDescent="0.3">
      <c r="A2" s="140" t="s">
        <v>67</v>
      </c>
      <c r="B2" s="280" t="s">
        <v>47</v>
      </c>
      <c r="C2" s="280"/>
      <c r="D2" s="141"/>
      <c r="E2" s="280" t="s">
        <v>70</v>
      </c>
      <c r="F2" s="280"/>
      <c r="G2" s="141"/>
      <c r="H2" s="280" t="s">
        <v>65</v>
      </c>
      <c r="I2" s="280"/>
      <c r="K2" s="131" t="s">
        <v>67</v>
      </c>
      <c r="L2" s="132" t="s">
        <v>47</v>
      </c>
      <c r="M2" s="132"/>
      <c r="N2" s="279" t="s">
        <v>64</v>
      </c>
      <c r="O2" s="279"/>
      <c r="P2" s="129"/>
      <c r="Q2" s="132" t="s">
        <v>65</v>
      </c>
    </row>
    <row r="3" spans="1:17" ht="15.75" customHeight="1" thickTop="1" thickBot="1" x14ac:dyDescent="0.3">
      <c r="A3" s="142"/>
      <c r="B3" s="143" t="s">
        <v>57</v>
      </c>
      <c r="C3" s="143" t="s">
        <v>73</v>
      </c>
      <c r="D3" s="143"/>
      <c r="E3" s="143" t="s">
        <v>57</v>
      </c>
      <c r="F3" s="143" t="s">
        <v>73</v>
      </c>
      <c r="G3" s="143"/>
      <c r="H3" s="143" t="s">
        <v>57</v>
      </c>
      <c r="I3" s="143" t="s">
        <v>73</v>
      </c>
      <c r="K3" s="130"/>
      <c r="L3" s="143" t="s">
        <v>73</v>
      </c>
      <c r="M3" s="128"/>
      <c r="N3" s="128" t="s">
        <v>57</v>
      </c>
      <c r="O3" s="143" t="s">
        <v>73</v>
      </c>
      <c r="P3" s="128"/>
      <c r="Q3" s="143" t="s">
        <v>73</v>
      </c>
    </row>
    <row r="4" spans="1:17" ht="15.75" customHeight="1" thickTop="1" thickBot="1" x14ac:dyDescent="0.3">
      <c r="A4" s="144" t="s">
        <v>84</v>
      </c>
      <c r="B4" s="150">
        <f>'Utt Mode b0'!$B8</f>
        <v>0.33448270219585613</v>
      </c>
      <c r="C4" s="150">
        <f>'Utt Mode b0'!B7</f>
        <v>0.94639514078683329</v>
      </c>
      <c r="D4" s="150"/>
      <c r="E4" s="150">
        <f>'Utt Mode+ b0'!$B$8</f>
        <v>0.32349021221160446</v>
      </c>
      <c r="F4" s="150">
        <f>'Utt Mode+ b0'!B7</f>
        <v>0.7948568044637786</v>
      </c>
      <c r="G4" s="150"/>
      <c r="H4" s="150">
        <f>E4-B4</f>
        <v>-1.0992489984251674E-2</v>
      </c>
      <c r="I4" s="150">
        <f>F4-C4</f>
        <v>-0.15153833632305469</v>
      </c>
      <c r="K4" s="125" t="s">
        <v>84</v>
      </c>
      <c r="L4" s="133">
        <f>C4</f>
        <v>0.94639514078683329</v>
      </c>
      <c r="M4" s="133"/>
      <c r="N4" s="133">
        <f>E4</f>
        <v>0.32349021221160446</v>
      </c>
      <c r="O4" s="133">
        <f>F4</f>
        <v>0.7948568044637786</v>
      </c>
      <c r="P4" s="133"/>
      <c r="Q4" s="133">
        <f>O4-L4</f>
        <v>-0.15153833632305469</v>
      </c>
    </row>
    <row r="5" spans="1:17" ht="15.75" customHeight="1" x14ac:dyDescent="0.25">
      <c r="A5" s="145" t="s">
        <v>69</v>
      </c>
      <c r="B5" s="151">
        <f>'Utt Mode b0'!$B$16</f>
        <v>0.8489174668419448</v>
      </c>
      <c r="C5" s="151">
        <f>'Utt Mode b0'!B15</f>
        <v>3.9663031640428499</v>
      </c>
      <c r="D5" s="151"/>
      <c r="E5" s="151">
        <f>'Utt Mode+ b0'!$B$16</f>
        <v>-0.37609130213049236</v>
      </c>
      <c r="F5" s="151">
        <f>'Utt Mode+ b0'!B15</f>
        <v>3.2256726031709193</v>
      </c>
      <c r="G5" s="151"/>
      <c r="H5" s="151">
        <f>E5-B5</f>
        <v>-1.2250087689724372</v>
      </c>
      <c r="I5" s="151">
        <f>F5-C5</f>
        <v>-0.74063056087193058</v>
      </c>
      <c r="K5" s="126" t="s">
        <v>69</v>
      </c>
      <c r="L5" s="134">
        <f>C5</f>
        <v>3.9663031640428499</v>
      </c>
      <c r="M5" s="134"/>
      <c r="N5" s="134">
        <f>E5</f>
        <v>-0.37609130213049236</v>
      </c>
      <c r="O5" s="134">
        <f>F5</f>
        <v>3.2256726031709193</v>
      </c>
      <c r="P5" s="134"/>
      <c r="Q5" s="134">
        <f>O5-L5</f>
        <v>-0.74063056087193058</v>
      </c>
    </row>
    <row r="6" spans="1:17" ht="15.75" customHeight="1" thickBot="1" x14ac:dyDescent="0.3">
      <c r="B6" s="135"/>
      <c r="C6" s="135"/>
      <c r="D6" s="135"/>
      <c r="E6" s="135"/>
      <c r="F6" s="135"/>
      <c r="G6" s="135"/>
      <c r="H6" s="135"/>
      <c r="I6" s="135"/>
      <c r="K6" s="136"/>
      <c r="L6" s="135"/>
      <c r="M6" s="135"/>
      <c r="N6" s="135"/>
      <c r="O6" s="135"/>
      <c r="P6" s="135"/>
      <c r="Q6" s="135"/>
    </row>
    <row r="7" spans="1:17" ht="15.75" customHeight="1" thickTop="1" thickBot="1" x14ac:dyDescent="0.3">
      <c r="A7" s="131" t="s">
        <v>68</v>
      </c>
      <c r="B7" s="279" t="s">
        <v>71</v>
      </c>
      <c r="C7" s="279"/>
      <c r="D7" s="131"/>
      <c r="E7" s="281" t="s">
        <v>72</v>
      </c>
      <c r="F7" s="281"/>
      <c r="G7" s="131"/>
      <c r="H7" s="281" t="s">
        <v>65</v>
      </c>
      <c r="I7" s="281"/>
    </row>
    <row r="8" spans="1:17" ht="15.75" customHeight="1" thickTop="1" thickBot="1" x14ac:dyDescent="0.3">
      <c r="A8" s="130"/>
      <c r="B8" s="130" t="s">
        <v>57</v>
      </c>
      <c r="C8" s="143" t="s">
        <v>73</v>
      </c>
      <c r="D8" s="130"/>
      <c r="E8" s="130" t="s">
        <v>57</v>
      </c>
      <c r="F8" s="143" t="s">
        <v>73</v>
      </c>
      <c r="G8" s="130"/>
      <c r="H8" s="130" t="s">
        <v>57</v>
      </c>
      <c r="I8" s="143" t="s">
        <v>73</v>
      </c>
    </row>
    <row r="9" spans="1:17" ht="15.75" customHeight="1" thickTop="1" thickBot="1" x14ac:dyDescent="0.3">
      <c r="A9" s="125" t="s">
        <v>84</v>
      </c>
      <c r="B9" s="133">
        <f>'Utt Mode b1'!$B$11</f>
        <v>1.1465305801549397</v>
      </c>
      <c r="C9" s="148">
        <f>'Utt Mode b1'!B10</f>
        <v>0.75641619868054844</v>
      </c>
      <c r="D9" s="148"/>
      <c r="E9" s="133">
        <f>'Utt Mode+ b1'!$B$11</f>
        <v>0.95151497171871657</v>
      </c>
      <c r="F9" s="148">
        <f>'Utt Mode+ b1'!B10</f>
        <v>0.65562652404191735</v>
      </c>
      <c r="G9" s="148"/>
      <c r="H9" s="133">
        <f>E9-B9</f>
        <v>-0.19501560843622312</v>
      </c>
      <c r="I9" s="148">
        <f>F9-C9</f>
        <v>-0.10078967463863109</v>
      </c>
    </row>
    <row r="10" spans="1:17" ht="15.75" customHeight="1" x14ac:dyDescent="0.25">
      <c r="A10" s="126" t="s">
        <v>69</v>
      </c>
      <c r="B10" s="134">
        <f>'Utt Mode b1'!$B$22</f>
        <v>4.2999373295636447</v>
      </c>
      <c r="C10" s="149">
        <f>'Utt Mode b1'!B21</f>
        <v>3.9456737633979548</v>
      </c>
      <c r="D10" s="149"/>
      <c r="E10" s="134">
        <f>'Utt Mode+ b1'!$B$22</f>
        <v>3.4511007079158245</v>
      </c>
      <c r="F10" s="149">
        <f>'Utt Mode+ b1'!B21</f>
        <v>3.2680664329446474</v>
      </c>
      <c r="G10" s="149"/>
      <c r="H10" s="134">
        <f>E10-B10</f>
        <v>-0.84883662164782026</v>
      </c>
      <c r="I10" s="149">
        <f>F10-C10</f>
        <v>-0.67760733045330745</v>
      </c>
    </row>
    <row r="11" spans="1:17" x14ac:dyDescent="0.25">
      <c r="B11" s="135"/>
      <c r="C11" s="135"/>
      <c r="D11" s="135"/>
      <c r="E11" s="135"/>
      <c r="F11" s="135"/>
      <c r="G11" s="135"/>
      <c r="H11" s="135"/>
      <c r="I11" s="135"/>
    </row>
    <row r="12" spans="1:17" x14ac:dyDescent="0.25">
      <c r="B12" s="135"/>
      <c r="C12" s="135"/>
      <c r="D12" s="135"/>
      <c r="E12" s="135"/>
      <c r="F12" s="135"/>
      <c r="G12" s="135"/>
      <c r="H12" s="135"/>
      <c r="I12" s="135"/>
    </row>
    <row r="13" spans="1:17" x14ac:dyDescent="0.25">
      <c r="B13" s="135"/>
      <c r="C13" s="135"/>
      <c r="D13" s="135"/>
      <c r="E13" s="135"/>
      <c r="F13" s="135"/>
      <c r="G13" s="135"/>
      <c r="H13" s="135"/>
      <c r="I13" s="135"/>
    </row>
    <row r="14" spans="1:17" ht="15.75" customHeight="1" x14ac:dyDescent="0.25">
      <c r="A14" s="127"/>
    </row>
    <row r="15" spans="1:17" ht="15.75" customHeight="1" x14ac:dyDescent="0.25">
      <c r="A15" s="127"/>
    </row>
    <row r="16" spans="1:17" ht="15.75" customHeight="1" x14ac:dyDescent="0.25">
      <c r="A16" s="127"/>
    </row>
    <row r="17" spans="1:9" ht="15.75" customHeight="1" x14ac:dyDescent="0.25">
      <c r="A17" s="127"/>
    </row>
    <row r="18" spans="1:9" ht="15.75" customHeight="1" x14ac:dyDescent="0.25">
      <c r="A18" s="127"/>
      <c r="I18" s="135"/>
    </row>
    <row r="19" spans="1:9" ht="15.75" customHeight="1" x14ac:dyDescent="0.25">
      <c r="A19" s="127"/>
    </row>
    <row r="20" spans="1:9" ht="15.75" customHeight="1" x14ac:dyDescent="0.25"/>
    <row r="21" spans="1:9" ht="15.75" customHeight="1" x14ac:dyDescent="0.25"/>
    <row r="22" spans="1:9" ht="15.75" customHeight="1" x14ac:dyDescent="0.25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B16:U42"/>
  <sheetViews>
    <sheetView zoomScale="85" zoomScaleNormal="85" workbookViewId="0">
      <selection activeCell="A22" sqref="A22"/>
    </sheetView>
  </sheetViews>
  <sheetFormatPr defaultRowHeight="14.4" x14ac:dyDescent="0.3"/>
  <sheetData>
    <row r="16" spans="21:21" x14ac:dyDescent="0.3">
      <c r="U16" t="s">
        <v>12</v>
      </c>
    </row>
    <row r="17" spans="21:21" x14ac:dyDescent="0.3">
      <c r="U17" t="s">
        <v>13</v>
      </c>
    </row>
    <row r="18" spans="21:21" x14ac:dyDescent="0.3">
      <c r="U18" t="s">
        <v>14</v>
      </c>
    </row>
    <row r="19" spans="21:21" x14ac:dyDescent="0.3">
      <c r="U19" t="s">
        <v>15</v>
      </c>
    </row>
    <row r="41" spans="2:2" x14ac:dyDescent="0.3">
      <c r="B41" t="s">
        <v>101</v>
      </c>
    </row>
    <row r="42" spans="2:2" x14ac:dyDescent="0.3">
      <c r="B42" t="s">
        <v>102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218A-7946-4AEB-81AF-D2E306DBFB9B}">
  <dimension ref="B41:B42"/>
  <sheetViews>
    <sheetView zoomScale="130" zoomScaleNormal="130" workbookViewId="0">
      <selection activeCell="B41" sqref="B41"/>
    </sheetView>
  </sheetViews>
  <sheetFormatPr defaultRowHeight="14.4" x14ac:dyDescent="0.3"/>
  <sheetData>
    <row r="41" spans="2:2" x14ac:dyDescent="0.3">
      <c r="B41" t="s">
        <v>101</v>
      </c>
    </row>
    <row r="42" spans="2:2" x14ac:dyDescent="0.3">
      <c r="B42" t="s">
        <v>102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zoomScale="70" zoomScaleNormal="70" zoomScaleSheetLayoutView="55" workbookViewId="0">
      <selection activeCell="E12" sqref="E12"/>
    </sheetView>
  </sheetViews>
  <sheetFormatPr defaultColWidth="13.88671875" defaultRowHeight="13.2" x14ac:dyDescent="0.25"/>
  <cols>
    <col min="1" max="1" width="17.109375" style="35" customWidth="1"/>
    <col min="2" max="5" width="11.88671875" style="33" customWidth="1"/>
    <col min="6" max="8" width="11.88671875" style="200" customWidth="1"/>
    <col min="9" max="10" width="11.88671875" style="204" customWidth="1"/>
    <col min="11" max="12" width="11.44140625" style="200" customWidth="1"/>
    <col min="13" max="14" width="8.6640625" style="33" customWidth="1"/>
    <col min="15" max="15" width="11.44140625" style="34" customWidth="1"/>
    <col min="16" max="16" width="9.6640625" style="34" customWidth="1"/>
    <col min="17" max="17" width="11.44140625" style="34" customWidth="1"/>
    <col min="18" max="19" width="7.6640625" style="33" customWidth="1"/>
    <col min="20" max="21" width="11.44140625" style="33" customWidth="1"/>
    <col min="22" max="23" width="8.6640625" style="33" customWidth="1"/>
    <col min="24" max="24" width="11.44140625" style="34" customWidth="1"/>
    <col min="25" max="25" width="9.6640625" style="34" customWidth="1"/>
    <col min="26" max="26" width="11.44140625" style="34" customWidth="1"/>
    <col min="27" max="28" width="7.6640625" style="33" customWidth="1"/>
    <col min="29" max="30" width="11.44140625" style="33" customWidth="1"/>
    <col min="31" max="32" width="8.6640625" style="33" customWidth="1"/>
    <col min="33" max="33" width="11.44140625" style="34" customWidth="1"/>
    <col min="34" max="34" width="9.6640625" style="34" customWidth="1"/>
    <col min="35" max="35" width="11.44140625" style="34" customWidth="1"/>
    <col min="36" max="37" width="7.6640625" style="33" customWidth="1"/>
    <col min="38" max="39" width="11.44140625" style="33" customWidth="1"/>
    <col min="40" max="41" width="8.6640625" style="33" customWidth="1"/>
    <col min="42" max="42" width="11.44140625" style="34" customWidth="1"/>
    <col min="43" max="43" width="9.6640625" style="34" customWidth="1"/>
    <col min="44" max="44" width="11.44140625" style="34" customWidth="1"/>
    <col min="45" max="46" width="7.6640625" style="33" customWidth="1"/>
    <col min="47" max="48" width="11.44140625" style="33" customWidth="1"/>
    <col min="49" max="50" width="8.6640625" style="33" customWidth="1"/>
    <col min="51" max="51" width="11.44140625" style="34" customWidth="1"/>
    <col min="52" max="52" width="9.6640625" style="34" customWidth="1"/>
    <col min="53" max="53" width="11.44140625" style="34" customWidth="1"/>
    <col min="54" max="55" width="11.44140625" style="33" customWidth="1"/>
    <col min="56" max="16384" width="13.88671875" style="33"/>
  </cols>
  <sheetData>
    <row r="1" spans="1:53" s="116" customFormat="1" ht="24" customHeight="1" thickBot="1" x14ac:dyDescent="0.45">
      <c r="A1" s="275" t="s">
        <v>53</v>
      </c>
      <c r="B1" s="275"/>
      <c r="C1" s="275"/>
      <c r="D1" s="275"/>
      <c r="E1" s="275"/>
      <c r="F1" s="275"/>
      <c r="G1" s="275"/>
      <c r="H1" s="275"/>
      <c r="I1" s="275"/>
      <c r="J1" s="275"/>
      <c r="K1" s="184"/>
      <c r="L1" s="184"/>
      <c r="O1" s="117"/>
      <c r="P1" s="117"/>
      <c r="Q1" s="117"/>
      <c r="X1" s="117"/>
      <c r="Y1" s="117"/>
      <c r="Z1" s="117"/>
      <c r="AG1" s="117"/>
      <c r="AH1" s="117"/>
      <c r="AI1" s="117"/>
      <c r="AP1" s="117"/>
      <c r="AQ1" s="117"/>
      <c r="AR1" s="117"/>
      <c r="AY1" s="117"/>
      <c r="AZ1" s="117"/>
      <c r="BA1" s="117"/>
    </row>
    <row r="2" spans="1:53" s="48" customFormat="1" ht="15.75" customHeight="1" thickTop="1" thickBot="1" x14ac:dyDescent="0.3">
      <c r="A2" s="45" t="s">
        <v>94</v>
      </c>
      <c r="B2" s="25" t="s">
        <v>32</v>
      </c>
      <c r="C2" s="25" t="s">
        <v>5</v>
      </c>
      <c r="D2" s="25" t="s">
        <v>6</v>
      </c>
      <c r="E2" s="25" t="s">
        <v>2</v>
      </c>
      <c r="F2" s="185" t="s">
        <v>4</v>
      </c>
      <c r="G2" s="185" t="s">
        <v>7</v>
      </c>
      <c r="H2" s="185" t="s">
        <v>16</v>
      </c>
      <c r="I2" s="186" t="s">
        <v>19</v>
      </c>
      <c r="J2" s="187" t="s">
        <v>46</v>
      </c>
      <c r="K2" s="187"/>
    </row>
    <row r="3" spans="1:53" s="47" customFormat="1" ht="15.75" customHeight="1" thickTop="1" thickBot="1" x14ac:dyDescent="0.3">
      <c r="A3" s="41" t="s">
        <v>26</v>
      </c>
      <c r="B3" s="44">
        <f>[5]l_f0_mode_only_b1!C2</f>
        <v>0.121825034867324</v>
      </c>
      <c r="C3" s="44">
        <f>[5]l_f0_mode_only_b1!D2</f>
        <v>-0.188933112073396</v>
      </c>
      <c r="D3" s="44">
        <f>[5]l_f0_mode_only_b1!E2</f>
        <v>0.432583181808045</v>
      </c>
      <c r="E3" s="39">
        <f>[5]l_f0_mode_only_b1!F2</f>
        <v>0.15823899241933301</v>
      </c>
      <c r="F3" s="188">
        <f>[5]l_f0_mode_only_b1!G2</f>
        <v>0.76987999610417102</v>
      </c>
      <c r="G3" s="189">
        <f>[5]l_f0_mode_only_b1!H2</f>
        <v>611.15525903221203</v>
      </c>
      <c r="H3" s="190">
        <f>[5]l_f0_mode_only_b1!I2</f>
        <v>0.44166854756242502</v>
      </c>
      <c r="I3" s="192" t="str">
        <f>IF(H3&lt;0.001, "p &lt; .001", _xlfn.CONCAT("p = ", REPLACE(ROUND(H3, 3),1,2,".")))</f>
        <v>p = .442</v>
      </c>
      <c r="J3" s="193">
        <f>B3-C3</f>
        <v>0.31075814694072001</v>
      </c>
      <c r="K3" s="193"/>
    </row>
    <row r="4" spans="1:53" s="47" customFormat="1" ht="15.75" customHeight="1" thickBot="1" x14ac:dyDescent="0.3">
      <c r="A4" s="41" t="s">
        <v>27</v>
      </c>
      <c r="B4" s="43">
        <f>[6]h_f0_mode_only_b1!C2</f>
        <v>0.40503582548685102</v>
      </c>
      <c r="C4" s="43">
        <f>[6]h_f0_mode_only_b1!D2</f>
        <v>-3.0187990122508598E-2</v>
      </c>
      <c r="D4" s="43">
        <f>[6]h_f0_mode_only_b1!E2</f>
        <v>0.84025964109621099</v>
      </c>
      <c r="E4" s="42">
        <f>[6]h_f0_mode_only_b1!F2</f>
        <v>0.22162078621946199</v>
      </c>
      <c r="F4" s="194">
        <f>[6]h_f0_mode_only_b1!G2</f>
        <v>1.8276075651394901</v>
      </c>
      <c r="G4" s="195">
        <f>[6]h_f0_mode_only_b1!H2</f>
        <v>616.05466555235603</v>
      </c>
      <c r="H4" s="196">
        <f>[6]h_f0_mode_only_b1!I2</f>
        <v>6.8092015686035595E-2</v>
      </c>
      <c r="I4" s="192" t="str">
        <f>IF(H4&lt;0.001, "p &lt; .001", _xlfn.CONCAT("p = ", REPLACE(ROUND(H4, 3),1,2,".")))</f>
        <v>p = .068</v>
      </c>
      <c r="J4" s="193">
        <f>B4-C4</f>
        <v>0.43522381560935963</v>
      </c>
      <c r="K4" s="193"/>
    </row>
    <row r="5" spans="1:53" s="46" customFormat="1" ht="15.75" customHeight="1" thickBot="1" x14ac:dyDescent="0.3">
      <c r="A5" s="41" t="s">
        <v>28</v>
      </c>
      <c r="B5" s="40">
        <f>[7]l_t_mode_only_b1!C2</f>
        <v>0.41167603389401902</v>
      </c>
      <c r="C5" s="40">
        <f>[7]l_t_mode_only_b1!D2</f>
        <v>-3.52571542461031</v>
      </c>
      <c r="D5" s="40">
        <f>[7]l_t_mode_only_b1!E2</f>
        <v>4.3490674923983503</v>
      </c>
      <c r="E5" s="44">
        <f>[7]l_t_mode_only_b1!F2</f>
        <v>2.0049304730628501</v>
      </c>
      <c r="F5" s="188">
        <f>[7]l_t_mode_only_b1!G2</f>
        <v>0.205331825429895</v>
      </c>
      <c r="G5" s="189">
        <f>[7]l_t_mode_only_b1!H2</f>
        <v>610.96815543298101</v>
      </c>
      <c r="H5" s="191">
        <f>[7]l_t_mode_only_b1!I2</f>
        <v>0.83738127271401996</v>
      </c>
      <c r="I5" s="192" t="str">
        <f>IF(H5&lt;0.001, "p &lt; .001", _xlfn.CONCAT("p = ", REPLACE(ROUND(H5, 3),1,2,".")))</f>
        <v>p = .837</v>
      </c>
      <c r="J5" s="193">
        <f>B5-C5</f>
        <v>3.937391458504329</v>
      </c>
      <c r="K5" s="197"/>
    </row>
    <row r="6" spans="1:53" s="46" customFormat="1" ht="15.75" customHeight="1" thickBot="1" x14ac:dyDescent="0.3">
      <c r="A6" s="41" t="s">
        <v>29</v>
      </c>
      <c r="B6" s="40">
        <f>[8]h_t_mode_only_b1!C2</f>
        <v>-0.37320125103735102</v>
      </c>
      <c r="C6" s="40">
        <f>[8]h_t_mode_only_b1!D2</f>
        <v>-6.1769756520058801</v>
      </c>
      <c r="D6" s="40">
        <f>[8]h_t_mode_only_b1!E2</f>
        <v>5.4305731499311802</v>
      </c>
      <c r="E6" s="39">
        <f>[8]h_t_mode_only_b1!F2</f>
        <v>2.9553179967679499</v>
      </c>
      <c r="F6" s="188">
        <f>[8]h_t_mode_only_b1!G2</f>
        <v>-0.12628125008729901</v>
      </c>
      <c r="G6" s="189">
        <f>[8]h_t_mode_only_b1!H2</f>
        <v>613.08331596124594</v>
      </c>
      <c r="H6" s="191">
        <f>[8]h_t_mode_only_b1!I2</f>
        <v>0.89955069937352095</v>
      </c>
      <c r="I6" s="192" t="str">
        <f>IF(H6&lt;0.001, "p &lt; .001", _xlfn.CONCAT("p = ", REPLACE(ROUND(H6, 3),1,2,".")))</f>
        <v>p = .9</v>
      </c>
      <c r="J6" s="193">
        <f>B6-C6</f>
        <v>5.8037744009685293</v>
      </c>
      <c r="K6" s="197"/>
    </row>
    <row r="7" spans="1:53" ht="15.75" customHeight="1" thickTop="1" thickBot="1" x14ac:dyDescent="0.3">
      <c r="A7" s="45" t="s">
        <v>95</v>
      </c>
      <c r="B7" s="25" t="str">
        <f t="shared" ref="B7:I7" si="0">B2</f>
        <v>β1</v>
      </c>
      <c r="C7" s="25" t="str">
        <f t="shared" si="0"/>
        <v>2.5% CI</v>
      </c>
      <c r="D7" s="25" t="str">
        <f t="shared" si="0"/>
        <v>97.5% CI</v>
      </c>
      <c r="E7" s="25" t="str">
        <f t="shared" si="0"/>
        <v xml:space="preserve">SE </v>
      </c>
      <c r="F7" s="185" t="str">
        <f t="shared" si="0"/>
        <v>t</v>
      </c>
      <c r="G7" s="198" t="str">
        <f t="shared" si="0"/>
        <v>df</v>
      </c>
      <c r="H7" s="199" t="str">
        <f t="shared" si="0"/>
        <v>p. val.</v>
      </c>
      <c r="I7" s="186" t="str">
        <f t="shared" si="0"/>
        <v>sig.</v>
      </c>
      <c r="J7" s="187" t="s">
        <v>46</v>
      </c>
      <c r="L7" s="33"/>
      <c r="N7" s="34"/>
      <c r="Q7" s="33"/>
      <c r="W7" s="34"/>
      <c r="Z7" s="33"/>
      <c r="AF7" s="34"/>
      <c r="AI7" s="33"/>
      <c r="AO7" s="34"/>
      <c r="AR7" s="33"/>
      <c r="AX7" s="34"/>
      <c r="BA7" s="33"/>
    </row>
    <row r="8" spans="1:53" ht="15.75" customHeight="1" thickTop="1" thickBot="1" x14ac:dyDescent="0.3">
      <c r="A8" s="41" t="s">
        <v>26</v>
      </c>
      <c r="B8" s="44">
        <f>[5]l_f0_mode_only_b1!C3</f>
        <v>1.6236013056984899</v>
      </c>
      <c r="C8" s="44">
        <f>[5]l_f0_mode_only_b1!D3</f>
        <v>1.3115827725277101</v>
      </c>
      <c r="D8" s="44">
        <f>[5]l_f0_mode_only_b1!E3</f>
        <v>1.93561983886927</v>
      </c>
      <c r="E8" s="39">
        <f>[5]l_f0_mode_only_b1!F3</f>
        <v>0.15888087378235699</v>
      </c>
      <c r="F8" s="188">
        <f>[5]l_f0_mode_only_b1!G3</f>
        <v>10.2189852500596</v>
      </c>
      <c r="G8" s="189">
        <f>[5]l_f0_mode_only_b1!H3</f>
        <v>611.32758190458401</v>
      </c>
      <c r="H8" s="196">
        <f>[5]l_f0_mode_only_b1!I3</f>
        <v>9.7155838219225805E-23</v>
      </c>
      <c r="I8" s="192" t="str">
        <f>IF(H8&lt;0.001, "p &lt; .001", _xlfn.CONCAT("p = ", REPLACE(ROUND(H8, 3),1,2,".")))</f>
        <v>p &lt; .001</v>
      </c>
      <c r="J8" s="193">
        <f>B8-C8</f>
        <v>0.31201853317077988</v>
      </c>
      <c r="L8" s="33"/>
      <c r="N8" s="34"/>
      <c r="Q8" s="33"/>
      <c r="W8" s="34"/>
      <c r="Z8" s="33"/>
      <c r="AF8" s="34"/>
      <c r="AI8" s="33"/>
      <c r="AO8" s="34"/>
      <c r="AR8" s="33"/>
      <c r="AX8" s="34"/>
      <c r="BA8" s="33"/>
    </row>
    <row r="9" spans="1:53" ht="15.75" customHeight="1" thickBot="1" x14ac:dyDescent="0.3">
      <c r="A9" s="41" t="s">
        <v>27</v>
      </c>
      <c r="B9" s="43">
        <f>[6]h_f0_mode_only_b1!C3</f>
        <v>1.7186864407115801</v>
      </c>
      <c r="C9" s="43">
        <f>[6]h_f0_mode_only_b1!D3</f>
        <v>1.28173542430512</v>
      </c>
      <c r="D9" s="43">
        <f>[6]h_f0_mode_only_b1!E3</f>
        <v>2.1556374571180501</v>
      </c>
      <c r="E9" s="42">
        <f>[6]h_f0_mode_only_b1!F3</f>
        <v>0.222500408320183</v>
      </c>
      <c r="F9" s="194">
        <f>[6]h_f0_mode_only_b1!G3</f>
        <v>7.7244192659563904</v>
      </c>
      <c r="G9" s="195">
        <f>[6]h_f0_mode_only_b1!H3</f>
        <v>616.21270734720099</v>
      </c>
      <c r="H9" s="196">
        <f>[6]h_f0_mode_only_b1!I3</f>
        <v>4.5714540165725702E-14</v>
      </c>
      <c r="I9" s="192" t="str">
        <f>IF(H9&lt;0.001, "p &lt; .001", _xlfn.CONCAT("p = ", REPLACE(ROUND(H9, 3),1,2,".")))</f>
        <v>p &lt; .001</v>
      </c>
      <c r="J9" s="193">
        <f>B9-C9</f>
        <v>0.43695101640646006</v>
      </c>
      <c r="L9" s="33"/>
      <c r="N9" s="34"/>
      <c r="Q9" s="33"/>
      <c r="W9" s="34"/>
      <c r="Z9" s="33"/>
      <c r="AF9" s="34"/>
      <c r="AI9" s="33"/>
      <c r="AO9" s="34"/>
      <c r="AR9" s="33"/>
      <c r="AX9" s="34"/>
      <c r="BA9" s="33"/>
    </row>
    <row r="10" spans="1:53" ht="15.75" customHeight="1" thickBot="1" x14ac:dyDescent="0.3">
      <c r="A10" s="41" t="s">
        <v>28</v>
      </c>
      <c r="B10" s="40">
        <f>[7]l_t_mode_only_b1!C3</f>
        <v>-2.2790898314757602</v>
      </c>
      <c r="C10" s="40">
        <f>[7]l_t_mode_only_b1!D3</f>
        <v>-6.24347229753202</v>
      </c>
      <c r="D10" s="40">
        <f>[7]l_t_mode_only_b1!E3</f>
        <v>1.6852926345804999</v>
      </c>
      <c r="E10" s="39">
        <f>[7]l_t_mode_only_b1!F3</f>
        <v>2.0186796935018698</v>
      </c>
      <c r="F10" s="188">
        <f>[7]l_t_mode_only_b1!G3</f>
        <v>-1.12900022663929</v>
      </c>
      <c r="G10" s="189">
        <f>[7]l_t_mode_only_b1!H3</f>
        <v>611.78132777544101</v>
      </c>
      <c r="H10" s="190">
        <f>[7]l_t_mode_only_b1!I3</f>
        <v>0.25934024176004</v>
      </c>
      <c r="I10" s="192" t="str">
        <f>IF(H10&lt;0.001, "p &lt; .001", _xlfn.CONCAT("p = ", REPLACE(ROUND(H10, 3),1,2,".")))</f>
        <v>p = .259</v>
      </c>
      <c r="J10" s="193">
        <f>B10-C10</f>
        <v>3.9643824660562599</v>
      </c>
      <c r="L10" s="33"/>
      <c r="N10" s="34"/>
      <c r="Q10" s="33"/>
      <c r="W10" s="34"/>
      <c r="Z10" s="33"/>
      <c r="AF10" s="34"/>
      <c r="AI10" s="33"/>
      <c r="AO10" s="34"/>
      <c r="AR10" s="33"/>
      <c r="AX10" s="34"/>
      <c r="BA10" s="33"/>
    </row>
    <row r="11" spans="1:53" ht="15.75" customHeight="1" thickBot="1" x14ac:dyDescent="0.3">
      <c r="A11" s="38" t="s">
        <v>29</v>
      </c>
      <c r="B11" s="37">
        <f>[8]h_t_mode_only_b1!C3</f>
        <v>-2.46345421043705</v>
      </c>
      <c r="C11" s="37">
        <f>[8]h_t_mode_only_b1!D3</f>
        <v>-8.2999697902156804</v>
      </c>
      <c r="D11" s="37">
        <f>[8]h_t_mode_only_b1!E3</f>
        <v>3.3730613693415701</v>
      </c>
      <c r="E11" s="36">
        <f>[8]h_t_mode_only_b1!F3</f>
        <v>2.9719910915272698</v>
      </c>
      <c r="F11" s="201">
        <f>[8]h_t_mode_only_b1!G3</f>
        <v>-0.82889017314352398</v>
      </c>
      <c r="G11" s="202">
        <f>[8]h_t_mode_only_b1!H3</f>
        <v>613.19628569462202</v>
      </c>
      <c r="H11" s="203">
        <f>[8]h_t_mode_only_b1!I3</f>
        <v>0.40748907999484901</v>
      </c>
      <c r="I11" s="192" t="str">
        <f>IF(H11&lt;0.001, "p &lt; .001", _xlfn.CONCAT("p = ", REPLACE(ROUND(H11, 3),1,2,".")))</f>
        <v>p = .407</v>
      </c>
      <c r="J11" s="193">
        <f>B11-C11</f>
        <v>5.8365155797786308</v>
      </c>
      <c r="L11" s="33"/>
      <c r="N11" s="34"/>
      <c r="Q11" s="33"/>
      <c r="W11" s="34"/>
      <c r="Z11" s="33"/>
      <c r="AF11" s="34"/>
      <c r="AI11" s="33"/>
      <c r="AO11" s="34"/>
      <c r="AR11" s="33"/>
      <c r="AX11" s="34"/>
      <c r="BA11" s="33"/>
    </row>
    <row r="12" spans="1:53" ht="15.75" customHeight="1" thickTop="1" thickBot="1" x14ac:dyDescent="0.3">
      <c r="A12" s="45" t="s">
        <v>96</v>
      </c>
      <c r="B12" s="25" t="str">
        <f t="shared" ref="B12:I12" si="1">B2</f>
        <v>β1</v>
      </c>
      <c r="C12" s="25" t="str">
        <f t="shared" si="1"/>
        <v>2.5% CI</v>
      </c>
      <c r="D12" s="25" t="str">
        <f t="shared" si="1"/>
        <v>97.5% CI</v>
      </c>
      <c r="E12" s="25" t="str">
        <f t="shared" si="1"/>
        <v xml:space="preserve">SE </v>
      </c>
      <c r="F12" s="185" t="str">
        <f t="shared" si="1"/>
        <v>t</v>
      </c>
      <c r="G12" s="198" t="str">
        <f t="shared" si="1"/>
        <v>df</v>
      </c>
      <c r="H12" s="199" t="str">
        <f t="shared" si="1"/>
        <v>p. val.</v>
      </c>
      <c r="I12" s="186" t="str">
        <f t="shared" si="1"/>
        <v>sig.</v>
      </c>
      <c r="J12" s="187" t="s">
        <v>46</v>
      </c>
      <c r="L12" s="33"/>
      <c r="N12" s="34"/>
      <c r="Q12" s="33"/>
      <c r="W12" s="34"/>
      <c r="Z12" s="33"/>
      <c r="AF12" s="34"/>
      <c r="AI12" s="33"/>
      <c r="AO12" s="34"/>
      <c r="AR12" s="33"/>
      <c r="AX12" s="34"/>
      <c r="BA12" s="33"/>
    </row>
    <row r="13" spans="1:53" ht="15.75" customHeight="1" thickTop="1" thickBot="1" x14ac:dyDescent="0.3">
      <c r="A13" s="41" t="s">
        <v>26</v>
      </c>
      <c r="B13" s="44">
        <f>[5]l_f0_mode_only_b1!C4</f>
        <v>2.4890953676723599</v>
      </c>
      <c r="C13" s="44">
        <f>[5]l_f0_mode_only_b1!D4</f>
        <v>2.1527924696035399</v>
      </c>
      <c r="D13" s="44">
        <f>[5]l_f0_mode_only_b1!E4</f>
        <v>2.82539826574118</v>
      </c>
      <c r="E13" s="39">
        <f>[5]l_f0_mode_only_b1!F4</f>
        <v>0.17124902009845999</v>
      </c>
      <c r="F13" s="188">
        <f>[5]l_f0_mode_only_b1!G4</f>
        <v>14.534946630592399</v>
      </c>
      <c r="G13" s="189">
        <f>[5]l_f0_mode_only_b1!H4</f>
        <v>615.79975374511901</v>
      </c>
      <c r="H13" s="196">
        <f>[5]l_f0_mode_only_b1!I4</f>
        <v>2.2879816589249299E-41</v>
      </c>
      <c r="I13" s="192" t="str">
        <f>IF(H13&lt;0.001, "p &lt; .001", _xlfn.CONCAT("p = ", REPLACE(ROUND(H13, 3),1,2,".")))</f>
        <v>p &lt; .001</v>
      </c>
      <c r="J13" s="193">
        <f>B13-C13</f>
        <v>0.33630289806882008</v>
      </c>
      <c r="L13" s="33"/>
      <c r="N13" s="34"/>
      <c r="Q13" s="33"/>
      <c r="W13" s="34"/>
      <c r="Z13" s="33"/>
      <c r="AF13" s="34"/>
      <c r="AI13" s="33"/>
      <c r="AO13" s="34"/>
      <c r="AR13" s="33"/>
      <c r="AX13" s="34"/>
      <c r="BA13" s="33"/>
    </row>
    <row r="14" spans="1:53" ht="15.75" customHeight="1" thickBot="1" x14ac:dyDescent="0.3">
      <c r="A14" s="41" t="s">
        <v>27</v>
      </c>
      <c r="B14" s="43">
        <f>[6]h_f0_mode_only_b1!C4</f>
        <v>4.5107219286374303</v>
      </c>
      <c r="C14" s="43">
        <f>[6]h_f0_mode_only_b1!D4</f>
        <v>4.0429721432733903</v>
      </c>
      <c r="D14" s="43">
        <f>[6]h_f0_mode_only_b1!E4</f>
        <v>4.9784717140014596</v>
      </c>
      <c r="E14" s="42">
        <f>[6]h_f0_mode_only_b1!F4</f>
        <v>0.238185649799145</v>
      </c>
      <c r="F14" s="194">
        <f>[6]h_f0_mode_only_b1!G4</f>
        <v>18.937840849946902</v>
      </c>
      <c r="G14" s="195">
        <f>[6]h_f0_mode_only_b1!H4</f>
        <v>619.06465556537103</v>
      </c>
      <c r="H14" s="196">
        <f>[6]h_f0_mode_only_b1!I4</f>
        <v>1.9445664217963E-63</v>
      </c>
      <c r="I14" s="192" t="str">
        <f>IF(H14&lt;0.001, "p &lt; .001", _xlfn.CONCAT("p = ", REPLACE(ROUND(H14, 3),1,2,".")))</f>
        <v>p &lt; .001</v>
      </c>
      <c r="J14" s="193">
        <f>B14-C14</f>
        <v>0.46774978536403999</v>
      </c>
      <c r="L14" s="33"/>
      <c r="N14" s="34"/>
      <c r="Q14" s="33"/>
      <c r="W14" s="34"/>
      <c r="Z14" s="33"/>
      <c r="AF14" s="34"/>
      <c r="AI14" s="33"/>
      <c r="AO14" s="34"/>
      <c r="AR14" s="33"/>
      <c r="AX14" s="34"/>
      <c r="BA14" s="33"/>
    </row>
    <row r="15" spans="1:53" ht="15.75" customHeight="1" thickBot="1" x14ac:dyDescent="0.3">
      <c r="A15" s="41" t="s">
        <v>28</v>
      </c>
      <c r="B15" s="40">
        <f>[7]l_t_mode_only_b1!C4</f>
        <v>-20.9825358833363</v>
      </c>
      <c r="C15" s="40">
        <f>[7]l_t_mode_only_b1!D4</f>
        <v>-25.194861329456199</v>
      </c>
      <c r="D15" s="40">
        <f>[7]l_t_mode_only_b1!E4</f>
        <v>-16.770210437216399</v>
      </c>
      <c r="E15" s="39">
        <f>[7]l_t_mode_only_b1!F4</f>
        <v>2.1448412737092499</v>
      </c>
      <c r="F15" s="188">
        <f>[7]l_t_mode_only_b1!G4</f>
        <v>-9.7827919205645699</v>
      </c>
      <c r="G15" s="189">
        <f>[7]l_t_mode_only_b1!H4</f>
        <v>598.82447117332094</v>
      </c>
      <c r="H15" s="196">
        <f>[7]l_t_mode_only_b1!I4</f>
        <v>4.5704176563710303E-21</v>
      </c>
      <c r="I15" s="192" t="str">
        <f>IF(H15&lt;0.001, "p &lt; .001", _xlfn.CONCAT("p = ", REPLACE(ROUND(H15, 3),1,2,".")))</f>
        <v>p &lt; .001</v>
      </c>
      <c r="J15" s="193">
        <f>B15-C15</f>
        <v>4.2123254461198982</v>
      </c>
      <c r="L15" s="33"/>
      <c r="N15" s="34"/>
      <c r="Q15" s="33"/>
      <c r="W15" s="34"/>
      <c r="Z15" s="33"/>
      <c r="AF15" s="34"/>
      <c r="AI15" s="33"/>
      <c r="AO15" s="34"/>
      <c r="AR15" s="33"/>
      <c r="AX15" s="34"/>
      <c r="BA15" s="33"/>
    </row>
    <row r="16" spans="1:53" ht="15.75" customHeight="1" thickBot="1" x14ac:dyDescent="0.3">
      <c r="A16" s="41" t="s">
        <v>29</v>
      </c>
      <c r="B16" s="40">
        <f>[8]h_t_mode_only_b1!C4</f>
        <v>-16.787144899812802</v>
      </c>
      <c r="C16" s="40">
        <f>[8]h_t_mode_only_b1!D4</f>
        <v>-23.029999701201501</v>
      </c>
      <c r="D16" s="40">
        <f>[8]h_t_mode_only_b1!E4</f>
        <v>-10.544290098424099</v>
      </c>
      <c r="E16" s="39">
        <f>[8]h_t_mode_only_b1!F4</f>
        <v>3.17892241108345</v>
      </c>
      <c r="F16" s="188">
        <f>[8]h_t_mode_only_b1!G4</f>
        <v>-5.2807658473461698</v>
      </c>
      <c r="G16" s="189">
        <f>[8]h_t_mode_only_b1!H4</f>
        <v>615.23055542333896</v>
      </c>
      <c r="H16" s="196">
        <f>[8]h_t_mode_only_b1!I4</f>
        <v>1.7869365120643699E-7</v>
      </c>
      <c r="I16" s="192" t="str">
        <f>IF(H16&lt;0.001, "p &lt; .001", _xlfn.CONCAT("p = ", REPLACE(ROUND(H16, 3),1,2,".")))</f>
        <v>p &lt; .001</v>
      </c>
      <c r="J16" s="193">
        <f>B16-C16</f>
        <v>6.2428548013886989</v>
      </c>
      <c r="L16" s="33"/>
      <c r="N16" s="34"/>
      <c r="Q16" s="33"/>
      <c r="W16" s="34"/>
      <c r="Z16" s="33"/>
      <c r="AF16" s="34"/>
      <c r="AI16" s="33"/>
      <c r="AO16" s="34"/>
      <c r="AR16" s="33"/>
      <c r="AX16" s="34"/>
      <c r="BA16" s="33"/>
    </row>
    <row r="17" spans="1:53" ht="15.75" customHeight="1" thickTop="1" thickBot="1" x14ac:dyDescent="0.3">
      <c r="A17" s="45" t="s">
        <v>97</v>
      </c>
      <c r="B17" s="25" t="str">
        <f t="shared" ref="B17:I17" si="2">B2</f>
        <v>β1</v>
      </c>
      <c r="C17" s="25" t="str">
        <f t="shared" si="2"/>
        <v>2.5% CI</v>
      </c>
      <c r="D17" s="25" t="str">
        <f t="shared" si="2"/>
        <v>97.5% CI</v>
      </c>
      <c r="E17" s="25" t="str">
        <f t="shared" si="2"/>
        <v xml:space="preserve">SE </v>
      </c>
      <c r="F17" s="185" t="str">
        <f t="shared" si="2"/>
        <v>t</v>
      </c>
      <c r="G17" s="198" t="str">
        <f t="shared" si="2"/>
        <v>df</v>
      </c>
      <c r="H17" s="199" t="str">
        <f t="shared" si="2"/>
        <v>p. val.</v>
      </c>
      <c r="I17" s="186" t="str">
        <f t="shared" si="2"/>
        <v>sig.</v>
      </c>
      <c r="J17" s="187" t="s">
        <v>46</v>
      </c>
      <c r="L17" s="33"/>
      <c r="N17" s="34"/>
      <c r="Q17" s="33"/>
      <c r="W17" s="34"/>
      <c r="Z17" s="33"/>
      <c r="AF17" s="34"/>
      <c r="AI17" s="33"/>
      <c r="AO17" s="34"/>
      <c r="AR17" s="33"/>
      <c r="AX17" s="34"/>
      <c r="BA17" s="33"/>
    </row>
    <row r="18" spans="1:53" ht="15.75" customHeight="1" thickTop="1" thickBot="1" x14ac:dyDescent="0.3">
      <c r="A18" s="41" t="s">
        <v>26</v>
      </c>
      <c r="B18" s="44">
        <f>[5]l_f0_mode_only_b1!C5</f>
        <v>1.50177627086968</v>
      </c>
      <c r="C18" s="44">
        <f>[5]l_f0_mode_only_b1!D5</f>
        <v>1.1902378446218</v>
      </c>
      <c r="D18" s="44">
        <f>[5]l_f0_mode_only_b1!E5</f>
        <v>1.81331469711755</v>
      </c>
      <c r="E18" s="39">
        <f>[5]l_f0_mode_only_b1!F5</f>
        <v>0.15863659531351901</v>
      </c>
      <c r="F18" s="188">
        <f>[5]l_f0_mode_only_b1!G5</f>
        <v>9.46677068996385</v>
      </c>
      <c r="G18" s="189">
        <f>[5]l_f0_mode_only_b1!H5</f>
        <v>611.70385848974399</v>
      </c>
      <c r="H18" s="196">
        <f>[5]l_f0_mode_only_b1!I5</f>
        <v>6.1645822268182704E-20</v>
      </c>
      <c r="I18" s="192" t="str">
        <f>IF(H18&lt;0.001, "p &lt; .001", _xlfn.CONCAT("p = ", REPLACE(ROUND(H18, 3),1,2,".")))</f>
        <v>p &lt; .001</v>
      </c>
      <c r="J18" s="193">
        <f>B18-C18</f>
        <v>0.31153842624787997</v>
      </c>
      <c r="L18" s="33"/>
      <c r="N18" s="34"/>
      <c r="Q18" s="33"/>
      <c r="W18" s="34"/>
      <c r="Z18" s="33"/>
      <c r="AF18" s="34"/>
      <c r="AI18" s="33"/>
      <c r="AO18" s="34"/>
      <c r="AR18" s="33"/>
      <c r="AX18" s="34"/>
      <c r="BA18" s="33"/>
    </row>
    <row r="19" spans="1:53" ht="15.75" customHeight="1" thickBot="1" x14ac:dyDescent="0.3">
      <c r="A19" s="41" t="s">
        <v>27</v>
      </c>
      <c r="B19" s="43">
        <f>[6]h_f0_mode_only_b1!C5</f>
        <v>1.31365061523257</v>
      </c>
      <c r="C19" s="43">
        <f>[6]h_f0_mode_only_b1!D5</f>
        <v>0.877341070460809</v>
      </c>
      <c r="D19" s="43">
        <f>[6]h_f0_mode_only_b1!E5</f>
        <v>1.74996016000433</v>
      </c>
      <c r="E19" s="42">
        <f>[6]h_f0_mode_only_b1!F5</f>
        <v>0.22217388182301301</v>
      </c>
      <c r="F19" s="194">
        <f>[6]h_f0_mode_only_b1!G5</f>
        <v>5.9127139718387101</v>
      </c>
      <c r="G19" s="195">
        <f>[6]h_f0_mode_only_b1!H5</f>
        <v>616.37923871538305</v>
      </c>
      <c r="H19" s="196">
        <f>[6]h_f0_mode_only_b1!I5</f>
        <v>5.5760053875402403E-9</v>
      </c>
      <c r="I19" s="192" t="str">
        <f>IF(H19&lt;0.001, "p &lt; .001", _xlfn.CONCAT("p = ", REPLACE(ROUND(H19, 3),1,2,".")))</f>
        <v>p &lt; .001</v>
      </c>
      <c r="J19" s="193">
        <f>B19-C19</f>
        <v>0.43630954477176098</v>
      </c>
      <c r="L19" s="33"/>
      <c r="N19" s="34"/>
      <c r="Q19" s="33"/>
      <c r="W19" s="34"/>
      <c r="Z19" s="33"/>
      <c r="AF19" s="34"/>
      <c r="AI19" s="33"/>
      <c r="AO19" s="34"/>
      <c r="AR19" s="33"/>
      <c r="AX19" s="34"/>
      <c r="BA19" s="33"/>
    </row>
    <row r="20" spans="1:53" ht="15.75" customHeight="1" thickBot="1" x14ac:dyDescent="0.3">
      <c r="A20" s="41" t="s">
        <v>28</v>
      </c>
      <c r="B20" s="40">
        <f>[7]l_t_mode_only_b1!C5</f>
        <v>-2.6907658599282902</v>
      </c>
      <c r="C20" s="40">
        <f>[7]l_t_mode_only_b1!D5</f>
        <v>-6.6432667084196897</v>
      </c>
      <c r="D20" s="40">
        <f>[7]l_t_mode_only_b1!E5</f>
        <v>1.26173498856309</v>
      </c>
      <c r="E20" s="39">
        <f>[7]l_t_mode_only_b1!F5</f>
        <v>2.0126312326566498</v>
      </c>
      <c r="F20" s="188">
        <f>[7]l_t_mode_only_b1!G5</f>
        <v>-1.33693933407587</v>
      </c>
      <c r="G20" s="189">
        <f>[7]l_t_mode_only_b1!H5</f>
        <v>612.04323789240902</v>
      </c>
      <c r="H20" s="191">
        <f>[7]l_t_mode_only_b1!I5</f>
        <v>0.18173914374859801</v>
      </c>
      <c r="I20" s="192" t="str">
        <f>IF(H20&lt;0.001, "p &lt; .001", _xlfn.CONCAT("p = ", REPLACE(ROUND(H20, 3),1,2,".")))</f>
        <v>p = .182</v>
      </c>
      <c r="J20" s="193">
        <f>B20-C20</f>
        <v>3.9525008484913995</v>
      </c>
      <c r="L20" s="33"/>
      <c r="N20" s="34"/>
      <c r="Q20" s="33"/>
      <c r="W20" s="34"/>
      <c r="Z20" s="33"/>
      <c r="AF20" s="34"/>
      <c r="AI20" s="33"/>
      <c r="AO20" s="34"/>
      <c r="AR20" s="33"/>
      <c r="AX20" s="34"/>
      <c r="BA20" s="33"/>
    </row>
    <row r="21" spans="1:53" ht="15.75" customHeight="1" thickBot="1" x14ac:dyDescent="0.3">
      <c r="A21" s="41" t="s">
        <v>29</v>
      </c>
      <c r="B21" s="40">
        <f>[8]h_t_mode_only_b1!C5</f>
        <v>-2.0902529593466501</v>
      </c>
      <c r="C21" s="40">
        <f>[8]h_t_mode_only_b1!D5</f>
        <v>-7.9188349845815802</v>
      </c>
      <c r="D21" s="40">
        <f>[8]h_t_mode_only_b1!E5</f>
        <v>3.7383290658882702</v>
      </c>
      <c r="E21" s="39">
        <f>[8]h_t_mode_only_b1!F5</f>
        <v>2.9679522098455799</v>
      </c>
      <c r="F21" s="188">
        <f>[8]h_t_mode_only_b1!G5</f>
        <v>-0.70427446655396397</v>
      </c>
      <c r="G21" s="189">
        <f>[8]h_t_mode_only_b1!H5</f>
        <v>613.29398983544297</v>
      </c>
      <c r="H21" s="190">
        <f>[8]h_t_mode_only_b1!I5</f>
        <v>0.48152919263086202</v>
      </c>
      <c r="I21" s="192" t="str">
        <f>IF(H21&lt;0.001, "p &lt; .001", _xlfn.CONCAT("p = ", REPLACE(ROUND(H21, 3),1,2,".")))</f>
        <v>p = .482</v>
      </c>
      <c r="J21" s="193">
        <f>B21-C21</f>
        <v>5.8285820252349296</v>
      </c>
      <c r="L21" s="33"/>
      <c r="N21" s="34"/>
      <c r="Q21" s="33"/>
      <c r="W21" s="34"/>
      <c r="Z21" s="33"/>
      <c r="AF21" s="34"/>
      <c r="AI21" s="33"/>
      <c r="AO21" s="34"/>
      <c r="AR21" s="33"/>
      <c r="AX21" s="34"/>
      <c r="BA21" s="33"/>
    </row>
    <row r="22" spans="1:53" ht="15.75" customHeight="1" thickTop="1" thickBot="1" x14ac:dyDescent="0.3">
      <c r="A22" s="45" t="s">
        <v>98</v>
      </c>
      <c r="B22" s="25" t="str">
        <f t="shared" ref="B22:I22" si="3">B2</f>
        <v>β1</v>
      </c>
      <c r="C22" s="25" t="str">
        <f t="shared" si="3"/>
        <v>2.5% CI</v>
      </c>
      <c r="D22" s="25" t="str">
        <f t="shared" si="3"/>
        <v>97.5% CI</v>
      </c>
      <c r="E22" s="25" t="str">
        <f t="shared" si="3"/>
        <v xml:space="preserve">SE </v>
      </c>
      <c r="F22" s="185" t="str">
        <f t="shared" si="3"/>
        <v>t</v>
      </c>
      <c r="G22" s="198" t="str">
        <f t="shared" si="3"/>
        <v>df</v>
      </c>
      <c r="H22" s="199" t="str">
        <f t="shared" si="3"/>
        <v>p. val.</v>
      </c>
      <c r="I22" s="186" t="str">
        <f t="shared" si="3"/>
        <v>sig.</v>
      </c>
      <c r="J22" s="187" t="s">
        <v>46</v>
      </c>
      <c r="L22" s="33"/>
      <c r="N22" s="34"/>
      <c r="Q22" s="33"/>
      <c r="W22" s="34"/>
      <c r="Z22" s="33"/>
      <c r="AF22" s="34"/>
      <c r="AI22" s="33"/>
      <c r="AO22" s="34"/>
      <c r="AR22" s="33"/>
      <c r="AX22" s="34"/>
      <c r="BA22" s="33"/>
    </row>
    <row r="23" spans="1:53" ht="15.75" customHeight="1" thickTop="1" thickBot="1" x14ac:dyDescent="0.3">
      <c r="A23" s="41" t="s">
        <v>26</v>
      </c>
      <c r="B23" s="44">
        <f>[5]l_f0_mode_only_b1!C6</f>
        <v>2.3672703329679399</v>
      </c>
      <c r="C23" s="44">
        <f>[5]l_f0_mode_only_b1!D6</f>
        <v>2.0304693294845899</v>
      </c>
      <c r="D23" s="44">
        <f>[5]l_f0_mode_only_b1!E6</f>
        <v>2.7040713364513</v>
      </c>
      <c r="E23" s="39">
        <f>[5]l_f0_mode_only_b1!F6</f>
        <v>0.171503080808797</v>
      </c>
      <c r="F23" s="188">
        <f>[5]l_f0_mode_only_b1!G6</f>
        <v>13.803077599562901</v>
      </c>
      <c r="G23" s="189">
        <f>[5]l_f0_mode_only_b1!H6</f>
        <v>616.56673731054605</v>
      </c>
      <c r="H23" s="196">
        <f>[5]l_f0_mode_only_b1!I6</f>
        <v>5.8411857646804703E-38</v>
      </c>
      <c r="I23" s="192" t="str">
        <f>IF(H23&lt;0.001, "p &lt; .001", _xlfn.CONCAT("p = ", REPLACE(ROUND(H23, 3),1,2,".")))</f>
        <v>p &lt; .001</v>
      </c>
      <c r="J23" s="193">
        <f>B23-C23</f>
        <v>0.33680100348334996</v>
      </c>
      <c r="L23" s="33"/>
      <c r="N23" s="34"/>
      <c r="Q23" s="33"/>
      <c r="W23" s="34"/>
      <c r="Z23" s="33"/>
      <c r="AF23" s="34"/>
      <c r="AI23" s="33"/>
      <c r="AO23" s="34"/>
      <c r="AR23" s="33"/>
      <c r="AX23" s="34"/>
      <c r="BA23" s="33"/>
    </row>
    <row r="24" spans="1:53" ht="15.75" customHeight="1" thickBot="1" x14ac:dyDescent="0.3">
      <c r="A24" s="41" t="s">
        <v>27</v>
      </c>
      <c r="B24" s="43">
        <f>[6]h_f0_mode_only_b1!C6</f>
        <v>4.1056861031877903</v>
      </c>
      <c r="C24" s="43">
        <f>[6]h_f0_mode_only_b1!D6</f>
        <v>3.6371756687852099</v>
      </c>
      <c r="D24" s="43">
        <f>[6]h_f0_mode_only_b1!E6</f>
        <v>4.5741965375903701</v>
      </c>
      <c r="E24" s="42">
        <f>[6]h_f0_mode_only_b1!F6</f>
        <v>0.23857324550992701</v>
      </c>
      <c r="F24" s="194">
        <f>[6]h_f0_mode_only_b1!G6</f>
        <v>17.209331643253901</v>
      </c>
      <c r="G24" s="195">
        <f>[6]h_f0_mode_only_b1!H6</f>
        <v>619.41071311534097</v>
      </c>
      <c r="H24" s="196">
        <f>[6]h_f0_mode_only_b1!I6</f>
        <v>1.5422905521496801E-54</v>
      </c>
      <c r="I24" s="192" t="str">
        <f>IF(H24&lt;0.001, "p &lt; .001", _xlfn.CONCAT("p = ", REPLACE(ROUND(H24, 3),1,2,".")))</f>
        <v>p &lt; .001</v>
      </c>
      <c r="J24" s="193">
        <f>B24-C24</f>
        <v>0.46851043440258033</v>
      </c>
      <c r="L24" s="33"/>
      <c r="N24" s="34"/>
      <c r="Q24" s="33"/>
      <c r="W24" s="34"/>
      <c r="Z24" s="33"/>
      <c r="AF24" s="34"/>
      <c r="AI24" s="33"/>
      <c r="AO24" s="34"/>
      <c r="AR24" s="33"/>
      <c r="AX24" s="34"/>
      <c r="BA24" s="33"/>
    </row>
    <row r="25" spans="1:53" ht="15.75" customHeight="1" thickBot="1" x14ac:dyDescent="0.3">
      <c r="A25" s="41" t="s">
        <v>28</v>
      </c>
      <c r="B25" s="40">
        <f>[7]l_t_mode_only_b1!C6</f>
        <v>-21.394211900256799</v>
      </c>
      <c r="C25" s="40">
        <f>[7]l_t_mode_only_b1!D6</f>
        <v>-25.606549039913201</v>
      </c>
      <c r="D25" s="40">
        <f>[7]l_t_mode_only_b1!E6</f>
        <v>-17.181874760600301</v>
      </c>
      <c r="E25" s="39">
        <f>[7]l_t_mode_only_b1!F6</f>
        <v>2.1448398632424999</v>
      </c>
      <c r="F25" s="188">
        <f>[7]l_t_mode_only_b1!G6</f>
        <v>-9.9747362341138501</v>
      </c>
      <c r="G25" s="189">
        <f>[7]l_t_mode_only_b1!H6</f>
        <v>597.81090334868804</v>
      </c>
      <c r="H25" s="196">
        <f>[7]l_t_mode_only_b1!I6</f>
        <v>8.8572797847035004E-22</v>
      </c>
      <c r="I25" s="192" t="str">
        <f>IF(H25&lt;0.001, "p &lt; .001", _xlfn.CONCAT("p = ", REPLACE(ROUND(H25, 3),1,2,".")))</f>
        <v>p &lt; .001</v>
      </c>
      <c r="J25" s="193">
        <f>B25-C25</f>
        <v>4.2123371396564018</v>
      </c>
      <c r="L25" s="33"/>
      <c r="N25" s="34"/>
      <c r="Q25" s="33"/>
      <c r="W25" s="34"/>
      <c r="Z25" s="33"/>
      <c r="AF25" s="34"/>
      <c r="AI25" s="33"/>
      <c r="AO25" s="34"/>
      <c r="AR25" s="33"/>
      <c r="AX25" s="34"/>
      <c r="BA25" s="33"/>
    </row>
    <row r="26" spans="1:53" ht="15.75" customHeight="1" thickBot="1" x14ac:dyDescent="0.3">
      <c r="A26" s="41" t="s">
        <v>29</v>
      </c>
      <c r="B26" s="40">
        <f>[8]h_t_mode_only_b1!C6</f>
        <v>-16.413943648633602</v>
      </c>
      <c r="C26" s="40">
        <f>[8]h_t_mode_only_b1!D6</f>
        <v>-22.667934300932501</v>
      </c>
      <c r="D26" s="40">
        <f>[8]h_t_mode_only_b1!E6</f>
        <v>-10.159952996334701</v>
      </c>
      <c r="E26" s="39">
        <f>[8]h_t_mode_only_b1!F6</f>
        <v>3.18459495486213</v>
      </c>
      <c r="F26" s="188">
        <f>[8]h_t_mode_only_b1!G6</f>
        <v>-5.1541699592198897</v>
      </c>
      <c r="G26" s="189">
        <f>[8]h_t_mode_only_b1!H6</f>
        <v>615.432540556003</v>
      </c>
      <c r="H26" s="196">
        <f>[8]h_t_mode_only_b1!I6</f>
        <v>3.4371558626276199E-7</v>
      </c>
      <c r="I26" s="192" t="str">
        <f>IF(H26&lt;0.001, "p &lt; .001", _xlfn.CONCAT("p = ", REPLACE(ROUND(H26, 3),1,2,".")))</f>
        <v>p &lt; .001</v>
      </c>
      <c r="J26" s="193">
        <f>B26-C26</f>
        <v>6.2539906522988993</v>
      </c>
      <c r="L26" s="33"/>
      <c r="N26" s="34"/>
      <c r="Q26" s="33"/>
      <c r="W26" s="34"/>
      <c r="Z26" s="33"/>
      <c r="AF26" s="34"/>
      <c r="AI26" s="33"/>
      <c r="AO26" s="34"/>
      <c r="AR26" s="33"/>
      <c r="AX26" s="34"/>
      <c r="BA26" s="33"/>
    </row>
    <row r="27" spans="1:53" ht="15.75" customHeight="1" thickTop="1" thickBot="1" x14ac:dyDescent="0.3">
      <c r="A27" s="45" t="s">
        <v>99</v>
      </c>
      <c r="B27" s="25" t="str">
        <f t="shared" ref="B27:H27" si="4">B2</f>
        <v>β1</v>
      </c>
      <c r="C27" s="25" t="str">
        <f t="shared" si="4"/>
        <v>2.5% CI</v>
      </c>
      <c r="D27" s="25" t="str">
        <f t="shared" si="4"/>
        <v>97.5% CI</v>
      </c>
      <c r="E27" s="25" t="str">
        <f t="shared" si="4"/>
        <v xml:space="preserve">SE </v>
      </c>
      <c r="F27" s="185" t="str">
        <f t="shared" si="4"/>
        <v>t</v>
      </c>
      <c r="G27" s="198" t="str">
        <f t="shared" si="4"/>
        <v>df</v>
      </c>
      <c r="H27" s="199" t="str">
        <f t="shared" si="4"/>
        <v>p. val.</v>
      </c>
      <c r="I27" s="199" t="str">
        <f>I7</f>
        <v>sig.</v>
      </c>
      <c r="J27" s="187" t="s">
        <v>46</v>
      </c>
      <c r="L27" s="33"/>
      <c r="N27" s="34"/>
      <c r="Q27" s="33"/>
      <c r="W27" s="34"/>
      <c r="Z27" s="33"/>
      <c r="AF27" s="34"/>
      <c r="AI27" s="33"/>
      <c r="AO27" s="34"/>
      <c r="AR27" s="33"/>
      <c r="AX27" s="34"/>
      <c r="BA27" s="33"/>
    </row>
    <row r="28" spans="1:53" ht="15.75" customHeight="1" thickTop="1" thickBot="1" x14ac:dyDescent="0.3">
      <c r="A28" s="41" t="s">
        <v>26</v>
      </c>
      <c r="B28" s="44">
        <f>[5]l_f0_mode_only_b1!C7</f>
        <v>0.865494061976541</v>
      </c>
      <c r="C28" s="44">
        <f>[5]l_f0_mode_only_b1!D7</f>
        <v>0.53679325048973203</v>
      </c>
      <c r="D28" s="44">
        <f>[5]l_f0_mode_only_b1!E7</f>
        <v>1.1941948734633501</v>
      </c>
      <c r="E28" s="39">
        <f>[5]l_f0_mode_only_b1!F7</f>
        <v>0.16737722636578201</v>
      </c>
      <c r="F28" s="188">
        <f>[5]l_f0_mode_only_b1!G7</f>
        <v>5.1709188924251199</v>
      </c>
      <c r="G28" s="189">
        <f>[5]l_f0_mode_only_b1!H7</f>
        <v>614.43851895275202</v>
      </c>
      <c r="H28" s="196">
        <f>[5]l_f0_mode_only_b1!I7</f>
        <v>3.1561108069818502E-7</v>
      </c>
      <c r="I28" s="192" t="str">
        <f>IF(H28&lt;0.001, "p &lt; .001", _xlfn.CONCAT("p = ", REPLACE(ROUND(H28, 3),1,2,".")))</f>
        <v>p &lt; .001</v>
      </c>
      <c r="J28" s="193">
        <f>B28-C28</f>
        <v>0.32870081148680896</v>
      </c>
      <c r="L28" s="33"/>
      <c r="N28" s="34"/>
      <c r="Q28" s="33"/>
      <c r="W28" s="34"/>
      <c r="Z28" s="33"/>
      <c r="AF28" s="34"/>
      <c r="AI28" s="33"/>
      <c r="AO28" s="34"/>
      <c r="AR28" s="33"/>
      <c r="AX28" s="34"/>
      <c r="BA28" s="33"/>
    </row>
    <row r="29" spans="1:53" ht="15.75" customHeight="1" thickBot="1" x14ac:dyDescent="0.3">
      <c r="A29" s="41" t="s">
        <v>27</v>
      </c>
      <c r="B29" s="43">
        <f>[6]h_f0_mode_only_b1!C7</f>
        <v>2.7920354879932998</v>
      </c>
      <c r="C29" s="43">
        <f>[6]h_f0_mode_only_b1!D7</f>
        <v>2.3349090642400401</v>
      </c>
      <c r="D29" s="43">
        <f>[6]h_f0_mode_only_b1!E7</f>
        <v>3.2491619117465702</v>
      </c>
      <c r="E29" s="42">
        <f>[6]h_f0_mode_only_b1!F7</f>
        <v>0.23277547846621799</v>
      </c>
      <c r="F29" s="194">
        <f>[6]h_f0_mode_only_b1!G7</f>
        <v>11.9945430093853</v>
      </c>
      <c r="G29" s="195">
        <f>[6]h_f0_mode_only_b1!H7</f>
        <v>618.26981519641595</v>
      </c>
      <c r="H29" s="196">
        <f>[6]h_f0_mode_only_b1!I7</f>
        <v>6.0043603327585801E-30</v>
      </c>
      <c r="I29" s="192" t="str">
        <f>IF(H29&lt;0.001, "p &lt; .001", _xlfn.CONCAT("p = ", REPLACE(ROUND(H29, 3),1,2,".")))</f>
        <v>p &lt; .001</v>
      </c>
      <c r="J29" s="193">
        <f>B29-C29</f>
        <v>0.45712642375325974</v>
      </c>
      <c r="L29" s="33"/>
      <c r="N29" s="34"/>
      <c r="Q29" s="33"/>
      <c r="W29" s="34"/>
      <c r="Z29" s="33"/>
      <c r="AF29" s="34"/>
      <c r="AI29" s="33"/>
      <c r="AO29" s="34"/>
      <c r="AR29" s="33"/>
      <c r="AX29" s="34"/>
      <c r="BA29" s="33"/>
    </row>
    <row r="30" spans="1:53" ht="15.75" customHeight="1" thickBot="1" x14ac:dyDescent="0.3">
      <c r="A30" s="41" t="s">
        <v>28</v>
      </c>
      <c r="B30" s="40">
        <f>[7]l_t_mode_only_b1!C7</f>
        <v>-18.703446052286601</v>
      </c>
      <c r="C30" s="40">
        <f>[7]l_t_mode_only_b1!D7</f>
        <v>-22.830969939817798</v>
      </c>
      <c r="D30" s="40">
        <f>[7]l_t_mode_only_b1!E7</f>
        <v>-14.575922164755299</v>
      </c>
      <c r="E30" s="39">
        <f>[7]l_t_mode_only_b1!F7</f>
        <v>2.1017372076343399</v>
      </c>
      <c r="F30" s="188">
        <f>[7]l_t_mode_only_b1!G7</f>
        <v>-8.8990412237782408</v>
      </c>
      <c r="G30" s="189">
        <f>[7]l_t_mode_only_b1!H7</f>
        <v>609.62123399204995</v>
      </c>
      <c r="H30" s="196">
        <f>[7]l_t_mode_only_b1!I7</f>
        <v>6.39550356285835E-18</v>
      </c>
      <c r="I30" s="192" t="str">
        <f>IF(H30&lt;0.001, "p &lt; .001", _xlfn.CONCAT("p = ", REPLACE(ROUND(H30, 3),1,2,".")))</f>
        <v>p &lt; .001</v>
      </c>
      <c r="J30" s="193">
        <f>B30-C30</f>
        <v>4.127523887531197</v>
      </c>
      <c r="L30" s="33"/>
      <c r="N30" s="34"/>
      <c r="Q30" s="33"/>
      <c r="W30" s="34"/>
      <c r="Z30" s="33"/>
      <c r="AF30" s="34"/>
      <c r="AI30" s="33"/>
      <c r="AO30" s="34"/>
      <c r="AR30" s="33"/>
      <c r="AX30" s="34"/>
      <c r="BA30" s="33"/>
    </row>
    <row r="31" spans="1:53" ht="15.75" customHeight="1" thickBot="1" x14ac:dyDescent="0.3">
      <c r="A31" s="41" t="s">
        <v>29</v>
      </c>
      <c r="B31" s="40">
        <f>[8]h_t_mode_only_b1!C7</f>
        <v>-14.3236906872283</v>
      </c>
      <c r="C31" s="40">
        <f>[8]h_t_mode_only_b1!D7</f>
        <v>-20.434458973573399</v>
      </c>
      <c r="D31" s="40">
        <f>[8]h_t_mode_only_b1!E7</f>
        <v>-8.2129224008833095</v>
      </c>
      <c r="E31" s="39">
        <f>[8]h_t_mode_only_b1!F7</f>
        <v>3.1116566358557498</v>
      </c>
      <c r="F31" s="188">
        <f>[8]h_t_mode_only_b1!G7</f>
        <v>-4.60323627040846</v>
      </c>
      <c r="G31" s="189">
        <f>[8]h_t_mode_only_b1!H7</f>
        <v>614.62563280602501</v>
      </c>
      <c r="H31" s="196">
        <f>[8]h_t_mode_only_b1!I7</f>
        <v>5.05639154530272E-6</v>
      </c>
      <c r="I31" s="192" t="str">
        <f>IF(H31&lt;0.001, "p &lt; .001", _xlfn.CONCAT("p = ", REPLACE(ROUND(H31, 3),1,2,".")))</f>
        <v>p &lt; .001</v>
      </c>
      <c r="J31" s="193">
        <f>B31-C31</f>
        <v>6.1107682863450989</v>
      </c>
      <c r="L31" s="33"/>
      <c r="N31" s="34"/>
      <c r="Q31" s="33"/>
      <c r="W31" s="34"/>
      <c r="Z31" s="33"/>
      <c r="AF31" s="34"/>
      <c r="AI31" s="33"/>
      <c r="AO31" s="34"/>
      <c r="AR31" s="33"/>
      <c r="AX31" s="34"/>
      <c r="BA31" s="33"/>
    </row>
  </sheetData>
  <mergeCells count="1">
    <mergeCell ref="A1:J1"/>
  </mergeCells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="80" zoomScaleNormal="80" workbookViewId="0">
      <selection activeCell="A30" sqref="A30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27" spans="4:5" x14ac:dyDescent="0.3">
      <c r="D27" t="s">
        <v>39</v>
      </c>
    </row>
    <row r="29" spans="4:5" x14ac:dyDescent="0.3">
      <c r="E29" t="s">
        <v>39</v>
      </c>
    </row>
    <row r="33" spans="5:6" x14ac:dyDescent="0.3">
      <c r="F33" t="s">
        <v>17</v>
      </c>
    </row>
    <row r="34" spans="5:6" x14ac:dyDescent="0.3">
      <c r="E34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W102"/>
  <sheetViews>
    <sheetView showGridLines="0" topLeftCell="A10" zoomScale="85" zoomScaleNormal="85" zoomScaleSheetLayoutView="47" workbookViewId="0">
      <selection activeCell="F11" sqref="F11"/>
    </sheetView>
  </sheetViews>
  <sheetFormatPr defaultColWidth="13.88671875" defaultRowHeight="13.2" x14ac:dyDescent="0.25"/>
  <cols>
    <col min="1" max="1" width="17.109375" style="243" customWidth="1"/>
    <col min="2" max="8" width="11.88671875" style="216" customWidth="1"/>
    <col min="9" max="9" width="11.88671875" style="217" customWidth="1"/>
    <col min="10" max="10" width="11.88671875" style="216" customWidth="1"/>
    <col min="11" max="11" width="11.88671875" style="22" customWidth="1"/>
    <col min="12" max="12" width="11.44140625" style="22" customWidth="1"/>
    <col min="13" max="14" width="7.6640625" style="21" customWidth="1"/>
    <col min="15" max="16" width="11.44140625" style="21" customWidth="1"/>
    <col min="17" max="17" width="8.6640625" style="21" customWidth="1"/>
    <col min="18" max="19" width="11.44140625" style="21" customWidth="1"/>
    <col min="20" max="20" width="11.109375" style="22" customWidth="1"/>
    <col min="21" max="21" width="11.44140625" style="22" customWidth="1"/>
    <col min="22" max="23" width="11.44140625" style="21" customWidth="1"/>
    <col min="24" max="16384" width="13.88671875" style="23"/>
  </cols>
  <sheetData>
    <row r="1" spans="1:23" s="116" customFormat="1" ht="24" customHeight="1" thickBot="1" x14ac:dyDescent="0.45">
      <c r="A1" s="276" t="s">
        <v>48</v>
      </c>
      <c r="B1" s="276"/>
      <c r="C1" s="276"/>
      <c r="D1" s="276"/>
      <c r="E1" s="276"/>
      <c r="F1" s="276"/>
      <c r="G1" s="276"/>
      <c r="H1" s="276"/>
      <c r="I1" s="276"/>
      <c r="J1" s="205"/>
      <c r="K1" s="119"/>
      <c r="L1" s="119"/>
      <c r="M1" s="118"/>
      <c r="N1" s="118"/>
      <c r="O1" s="118"/>
      <c r="P1" s="118"/>
      <c r="Q1" s="118"/>
      <c r="R1" s="118"/>
      <c r="S1" s="118"/>
      <c r="T1" s="119"/>
      <c r="U1" s="119"/>
      <c r="V1" s="118"/>
      <c r="W1" s="118"/>
    </row>
    <row r="2" spans="1:23" ht="15.75" customHeight="1" thickTop="1" thickBot="1" x14ac:dyDescent="0.3">
      <c r="A2" s="206" t="s">
        <v>12</v>
      </c>
      <c r="B2" s="206" t="s">
        <v>30</v>
      </c>
      <c r="C2" s="206" t="s">
        <v>5</v>
      </c>
      <c r="D2" s="206" t="s">
        <v>6</v>
      </c>
      <c r="E2" s="206" t="str">
        <f>[9]l_f0_mode_phon_b0!E1</f>
        <v>std.error</v>
      </c>
      <c r="F2" s="185" t="s">
        <v>4</v>
      </c>
      <c r="G2" s="198" t="s">
        <v>7</v>
      </c>
      <c r="H2" s="186" t="s">
        <v>16</v>
      </c>
      <c r="I2" s="186" t="s">
        <v>19</v>
      </c>
      <c r="J2" s="207"/>
    </row>
    <row r="3" spans="1:23" ht="15.75" customHeight="1" thickTop="1" thickBot="1" x14ac:dyDescent="0.3">
      <c r="A3" s="208" t="s">
        <v>26</v>
      </c>
      <c r="B3" s="208">
        <f>[9]l_f0_mode_phon_b0!B2</f>
        <v>-2.33476525133297</v>
      </c>
      <c r="C3" s="208">
        <f>[9]l_f0_mode_phon_b0!C2</f>
        <v>-4.61671876402667</v>
      </c>
      <c r="D3" s="208">
        <f>[9]l_f0_mode_phon_b0!D2</f>
        <v>-5.2811738639284997E-2</v>
      </c>
      <c r="E3" s="209">
        <f>[9]l_f0_mode_phon_b0!E2</f>
        <v>0.707999084236697</v>
      </c>
      <c r="F3" s="209">
        <f>[9]l_f0_mode_phon_b0!F2</f>
        <v>-3.29769529836343</v>
      </c>
      <c r="G3" s="209">
        <f>[9]l_f0_mode_phon_b0!G2</f>
        <v>2.9343582922432798</v>
      </c>
      <c r="H3" s="210">
        <f>[9]l_f0_mode_phon_b0!H2</f>
        <v>4.7305860439716303E-2</v>
      </c>
      <c r="I3" s="192" t="str">
        <f>IF(H3&lt;0.001, "p &lt; .001", _xlfn.CONCAT("p = ", REPLACE(ROUND(H3, 3),1,2,".")))</f>
        <v>p = .047</v>
      </c>
      <c r="J3" s="207"/>
    </row>
    <row r="4" spans="1:23" ht="15.75" customHeight="1" x14ac:dyDescent="0.25">
      <c r="A4" s="211" t="s">
        <v>27</v>
      </c>
      <c r="B4" s="211">
        <f>[10]h_f0_mode_phon_b0!B2</f>
        <v>3.4168136826367101</v>
      </c>
      <c r="C4" s="211">
        <f>[10]h_f0_mode_phon_b0!C2</f>
        <v>-5.4105593324600798E-2</v>
      </c>
      <c r="D4" s="211">
        <f>[10]h_f0_mode_phon_b0!D2</f>
        <v>6.8877329585980203</v>
      </c>
      <c r="E4" s="212">
        <f>[10]h_f0_mode_phon_b0!E2</f>
        <v>1.12147132940085</v>
      </c>
      <c r="F4" s="212">
        <f>[10]h_f0_mode_phon_b0!F2</f>
        <v>3.0467240606696002</v>
      </c>
      <c r="G4" s="212">
        <f>[10]h_f0_mode_phon_b0!G2</f>
        <v>3.1565954176178401</v>
      </c>
      <c r="H4" s="213">
        <f>[10]h_f0_mode_phon_b0!H2</f>
        <v>5.2009788771190703E-2</v>
      </c>
      <c r="I4" s="251" t="str">
        <f t="shared" ref="I4:I6" si="0">IF(H4&lt;0.001, "p &lt; .001", _xlfn.CONCAT("p = ", REPLACE(ROUND(H4, 3),1,2,".")))</f>
        <v>p = .052</v>
      </c>
      <c r="J4" s="207"/>
    </row>
    <row r="5" spans="1:23" ht="15.75" customHeight="1" x14ac:dyDescent="0.25">
      <c r="A5" s="214" t="s">
        <v>28</v>
      </c>
      <c r="B5" s="214">
        <f>[11]l_t_mode_phon_b0!B2</f>
        <v>89.929313512108493</v>
      </c>
      <c r="C5" s="214">
        <f>[11]l_t_mode_phon_b0!C2</f>
        <v>73.538351456149897</v>
      </c>
      <c r="D5" s="214">
        <f>[11]l_t_mode_phon_b0!D2</f>
        <v>106.320275568067</v>
      </c>
      <c r="E5" s="211">
        <f>[11]l_t_mode_phon_b0!E2</f>
        <v>7.3764376616059</v>
      </c>
      <c r="F5" s="212">
        <f>[11]l_t_mode_phon_b0!F2</f>
        <v>12.191428659417401</v>
      </c>
      <c r="G5" s="212">
        <f>[11]l_t_mode_phon_b0!G2</f>
        <v>10.205572104300501</v>
      </c>
      <c r="H5" s="213">
        <f>[11]l_t_mode_phon_b0!H2</f>
        <v>2.0692240473470999E-7</v>
      </c>
      <c r="I5" s="251" t="str">
        <f t="shared" si="0"/>
        <v>p &lt; .001</v>
      </c>
      <c r="J5" s="207"/>
    </row>
    <row r="6" spans="1:23" ht="15.75" customHeight="1" thickBot="1" x14ac:dyDescent="0.3">
      <c r="A6" s="214" t="s">
        <v>29</v>
      </c>
      <c r="B6" s="214">
        <f>[12]h_t_mode_phon_b0!B2</f>
        <v>294.05119086836402</v>
      </c>
      <c r="C6" s="214">
        <f>[12]h_t_mode_phon_b0!C2</f>
        <v>213.20404416200401</v>
      </c>
      <c r="D6" s="214">
        <f>[12]h_t_mode_phon_b0!D2</f>
        <v>374.89833757472502</v>
      </c>
      <c r="E6" s="211">
        <f>[12]h_t_mode_phon_b0!E2</f>
        <v>30.340841593289198</v>
      </c>
      <c r="F6" s="212">
        <f>[12]h_t_mode_phon_b0!F2</f>
        <v>9.69159639043772</v>
      </c>
      <c r="G6" s="212">
        <f>[12]h_t_mode_phon_b0!G2</f>
        <v>4.4718850389704299</v>
      </c>
      <c r="H6" s="215">
        <f>[12]h_t_mode_phon_b0!H2</f>
        <v>3.6124452731722698E-4</v>
      </c>
      <c r="I6" s="251" t="str">
        <f t="shared" si="0"/>
        <v>p &lt; .001</v>
      </c>
      <c r="J6" s="207"/>
    </row>
    <row r="7" spans="1:23" ht="15.75" customHeight="1" thickTop="1" thickBot="1" x14ac:dyDescent="0.3">
      <c r="A7" s="206" t="s">
        <v>13</v>
      </c>
      <c r="B7" s="206" t="str">
        <f t="shared" ref="B7:H7" si="1">B2</f>
        <v>est.</v>
      </c>
      <c r="C7" s="206" t="str">
        <f t="shared" si="1"/>
        <v>2.5% CI</v>
      </c>
      <c r="D7" s="206" t="str">
        <f t="shared" si="1"/>
        <v>97.5% CI</v>
      </c>
      <c r="E7" s="206" t="str">
        <f t="shared" si="1"/>
        <v>std.error</v>
      </c>
      <c r="F7" s="206" t="str">
        <f t="shared" si="1"/>
        <v>t</v>
      </c>
      <c r="G7" s="206" t="str">
        <f t="shared" si="1"/>
        <v>df</v>
      </c>
      <c r="H7" s="206" t="str">
        <f t="shared" si="1"/>
        <v>p. val.</v>
      </c>
      <c r="I7" s="186" t="s">
        <v>19</v>
      </c>
      <c r="K7" s="21"/>
      <c r="L7" s="21"/>
      <c r="R7" s="22"/>
      <c r="S7" s="22"/>
      <c r="T7" s="21"/>
      <c r="U7" s="21"/>
      <c r="V7" s="23"/>
      <c r="W7" s="23"/>
    </row>
    <row r="8" spans="1:23" ht="15.75" customHeight="1" thickTop="1" thickBot="1" x14ac:dyDescent="0.3">
      <c r="A8" s="208" t="str">
        <f>A3</f>
        <v>l_f0</v>
      </c>
      <c r="B8" s="208">
        <f>[9]l_f0_mode_phon_b0!B3</f>
        <v>-2.2252320557365701</v>
      </c>
      <c r="C8" s="208">
        <f>[9]l_f0_mode_phon_b0!C3</f>
        <v>-4.5055599612283102</v>
      </c>
      <c r="D8" s="208">
        <f>[9]l_f0_mode_phon_b0!D3</f>
        <v>5.5095849755161901E-2</v>
      </c>
      <c r="E8" s="209">
        <f>[9]l_f0_mode_phon_b0!E3</f>
        <v>0.70838742595834303</v>
      </c>
      <c r="F8" s="209">
        <f>[9]l_f0_mode_phon_b0!F3</f>
        <v>-3.1412641927207599</v>
      </c>
      <c r="G8" s="209">
        <f>[9]l_f0_mode_phon_b0!G3</f>
        <v>2.9407324281576899</v>
      </c>
      <c r="H8" s="210">
        <f>[9]l_f0_mode_phon_b0!H3</f>
        <v>5.3028451056761301E-2</v>
      </c>
      <c r="I8" s="192" t="str">
        <f>IF(H8&lt;0.001, "p &lt; .001", _xlfn.CONCAT("p = ", REPLACE(ROUND(H8, 3),1,2,".")))</f>
        <v>p = .053</v>
      </c>
      <c r="K8" s="21"/>
      <c r="L8" s="21"/>
      <c r="R8" s="22"/>
      <c r="S8" s="22"/>
      <c r="T8" s="21"/>
      <c r="U8" s="21"/>
      <c r="V8" s="23"/>
      <c r="W8" s="23"/>
    </row>
    <row r="9" spans="1:23" ht="15.75" customHeight="1" x14ac:dyDescent="0.25">
      <c r="A9" s="211" t="str">
        <f>A4</f>
        <v>h_f0</v>
      </c>
      <c r="B9" s="211">
        <f>[10]h_f0_mode_phon_b0!B3</f>
        <v>3.8354463890968402</v>
      </c>
      <c r="C9" s="212">
        <f>[10]h_f0_mode_phon_b0!C3</f>
        <v>0.36592782982037297</v>
      </c>
      <c r="D9" s="212">
        <f>[10]h_f0_mode_phon_b0!D3</f>
        <v>7.3049649483733097</v>
      </c>
      <c r="E9" s="212">
        <f>[10]h_f0_mode_phon_b0!E3</f>
        <v>1.1218841719489401</v>
      </c>
      <c r="F9" s="212">
        <f>[10]h_f0_mode_phon_b0!F3</f>
        <v>3.4187543464793602</v>
      </c>
      <c r="G9" s="212">
        <f>[10]h_f0_mode_phon_b0!G3</f>
        <v>3.1611968347034098</v>
      </c>
      <c r="H9" s="213">
        <f>[10]h_f0_mode_phon_b0!H3</f>
        <v>3.8658114561195098E-2</v>
      </c>
      <c r="I9" s="251" t="str">
        <f t="shared" ref="I9:I11" si="2">IF(H9&lt;0.001, "p &lt; .001", _xlfn.CONCAT("p = ", REPLACE(ROUND(H9, 3),1,2,".")))</f>
        <v>p = .039</v>
      </c>
      <c r="K9" s="21"/>
      <c r="L9" s="21"/>
      <c r="R9" s="22"/>
      <c r="S9" s="22"/>
      <c r="T9" s="21"/>
      <c r="U9" s="21"/>
      <c r="V9" s="23"/>
      <c r="W9" s="23"/>
    </row>
    <row r="10" spans="1:23" ht="15.75" customHeight="1" x14ac:dyDescent="0.25">
      <c r="A10" s="214" t="str">
        <f>A5</f>
        <v>l_t</v>
      </c>
      <c r="B10" s="214">
        <f>[11]l_t_mode_phon_b0!B3</f>
        <v>90.285240771054006</v>
      </c>
      <c r="C10" s="212">
        <f>[11]l_t_mode_phon_b0!C3</f>
        <v>73.887466092161503</v>
      </c>
      <c r="D10" s="212">
        <f>[11]l_t_mode_phon_b0!D3</f>
        <v>106.683015449946</v>
      </c>
      <c r="E10" s="212">
        <f>[11]l_t_mode_phon_b0!E3</f>
        <v>7.3822664400354903</v>
      </c>
      <c r="F10" s="212">
        <f>[11]l_t_mode_phon_b0!F3</f>
        <v>12.230016554458</v>
      </c>
      <c r="G10" s="212">
        <f>[11]l_t_mode_phon_b0!G3</f>
        <v>10.2344844632575</v>
      </c>
      <c r="H10" s="213">
        <f>[11]l_t_mode_phon_b0!H3</f>
        <v>1.95296134957952E-7</v>
      </c>
      <c r="I10" s="251" t="str">
        <f t="shared" si="2"/>
        <v>p &lt; .001</v>
      </c>
      <c r="K10" s="21"/>
      <c r="L10" s="21"/>
      <c r="R10" s="22"/>
      <c r="S10" s="22"/>
      <c r="T10" s="21"/>
      <c r="U10" s="21"/>
      <c r="V10" s="23"/>
      <c r="W10" s="23"/>
    </row>
    <row r="11" spans="1:23" ht="15.75" customHeight="1" thickBot="1" x14ac:dyDescent="0.3">
      <c r="A11" s="214" t="str">
        <f>A6</f>
        <v>h_t</v>
      </c>
      <c r="B11" s="214">
        <f>[12]h_t_mode_phon_b0!B3</f>
        <v>293.60752949351303</v>
      </c>
      <c r="C11" s="212">
        <f>[12]h_t_mode_phon_b0!C3</f>
        <v>212.76384444546301</v>
      </c>
      <c r="D11" s="212">
        <f>[12]h_t_mode_phon_b0!D3</f>
        <v>374.45121454156401</v>
      </c>
      <c r="E11" s="212">
        <f>[12]h_t_mode_phon_b0!E3</f>
        <v>30.344357374470299</v>
      </c>
      <c r="F11" s="212">
        <f>[12]h_t_mode_phon_b0!F3</f>
        <v>9.6758526097683806</v>
      </c>
      <c r="G11" s="212">
        <f>[12]h_t_mode_phon_b0!G3</f>
        <v>4.47394836491367</v>
      </c>
      <c r="H11" s="213">
        <f>[12]h_t_mode_phon_b0!H3</f>
        <v>3.6290758051727399E-4</v>
      </c>
      <c r="I11" s="251" t="str">
        <f t="shared" si="2"/>
        <v>p &lt; .001</v>
      </c>
      <c r="K11" s="21"/>
      <c r="L11" s="21"/>
      <c r="R11" s="22"/>
      <c r="S11" s="22"/>
      <c r="T11" s="21"/>
      <c r="U11" s="21"/>
      <c r="V11" s="23"/>
      <c r="W11" s="23"/>
    </row>
    <row r="12" spans="1:23" ht="15.75" customHeight="1" thickTop="1" thickBot="1" x14ac:dyDescent="0.3">
      <c r="A12" s="206" t="s">
        <v>14</v>
      </c>
      <c r="B12" s="206" t="str">
        <f t="shared" ref="B12:H12" si="3">B2</f>
        <v>est.</v>
      </c>
      <c r="C12" s="206" t="str">
        <f t="shared" si="3"/>
        <v>2.5% CI</v>
      </c>
      <c r="D12" s="206" t="str">
        <f t="shared" si="3"/>
        <v>97.5% CI</v>
      </c>
      <c r="E12" s="206" t="str">
        <f t="shared" si="3"/>
        <v>std.error</v>
      </c>
      <c r="F12" s="206" t="str">
        <f t="shared" si="3"/>
        <v>t</v>
      </c>
      <c r="G12" s="206" t="str">
        <f t="shared" si="3"/>
        <v>df</v>
      </c>
      <c r="H12" s="206" t="str">
        <f t="shared" si="3"/>
        <v>p. val.</v>
      </c>
      <c r="I12" s="186" t="s">
        <v>19</v>
      </c>
      <c r="K12" s="21"/>
      <c r="L12" s="21"/>
      <c r="R12" s="22"/>
      <c r="S12" s="22"/>
      <c r="T12" s="21"/>
      <c r="U12" s="21"/>
      <c r="V12" s="23"/>
      <c r="W12" s="23"/>
    </row>
    <row r="13" spans="1:23" ht="15.75" customHeight="1" thickTop="1" thickBot="1" x14ac:dyDescent="0.3">
      <c r="A13" s="208" t="str">
        <f>A3</f>
        <v>l_f0</v>
      </c>
      <c r="B13" s="208">
        <f>[9]l_f0_mode_phon_b0!B4</f>
        <v>-1.2644469455390599</v>
      </c>
      <c r="C13" s="208">
        <f>[9]l_f0_mode_phon_b0!C4</f>
        <v>-3.5475003312728601</v>
      </c>
      <c r="D13" s="208">
        <f>[9]l_f0_mode_phon_b0!D4</f>
        <v>1.0186064401947199</v>
      </c>
      <c r="E13" s="209">
        <f>[9]l_f0_mode_phon_b0!E4</f>
        <v>0.70768537330219505</v>
      </c>
      <c r="F13" s="209">
        <f>[9]l_f0_mode_phon_b0!F4</f>
        <v>-1.7867360175029701</v>
      </c>
      <c r="G13" s="209">
        <f>[9]l_f0_mode_phon_b0!G4</f>
        <v>2.9297021738272999</v>
      </c>
      <c r="H13" s="210">
        <f>[9]l_f0_mode_phon_b0!H4</f>
        <v>0.17415068013423199</v>
      </c>
      <c r="I13" s="192" t="str">
        <f>IF(H13&lt;0.001, "p &lt; .001", _xlfn.CONCAT("p = ", REPLACE(ROUND(H13, 3),1,2,".")))</f>
        <v>p = .174</v>
      </c>
      <c r="K13" s="21"/>
      <c r="L13" s="21"/>
      <c r="R13" s="22"/>
      <c r="S13" s="22"/>
      <c r="T13" s="21"/>
      <c r="U13" s="21"/>
      <c r="V13" s="23"/>
      <c r="W13" s="23"/>
    </row>
    <row r="14" spans="1:23" ht="15.75" customHeight="1" x14ac:dyDescent="0.25">
      <c r="A14" s="211" t="str">
        <f>A4</f>
        <v>h_f0</v>
      </c>
      <c r="B14" s="211">
        <f>[10]h_f0_mode_phon_b0!B4</f>
        <v>4.3670221460573</v>
      </c>
      <c r="C14" s="211">
        <f>[10]h_f0_mode_phon_b0!C4</f>
        <v>0.89405967034982803</v>
      </c>
      <c r="D14" s="211">
        <f>[10]h_f0_mode_phon_b0!D4</f>
        <v>7.8399846217647804</v>
      </c>
      <c r="E14" s="212">
        <f>[10]h_f0_mode_phon_b0!E4</f>
        <v>1.1208134327885799</v>
      </c>
      <c r="F14" s="212">
        <f>[10]h_f0_mode_phon_b0!F4</f>
        <v>3.8962971162757598</v>
      </c>
      <c r="G14" s="212">
        <f>[10]h_f0_mode_phon_b0!G4</f>
        <v>3.1496165504990699</v>
      </c>
      <c r="H14" s="213">
        <f>[10]h_f0_mode_phon_b0!H4</f>
        <v>2.7463807297552899E-2</v>
      </c>
      <c r="I14" s="251" t="str">
        <f t="shared" ref="I14:I16" si="4">IF(H14&lt;0.001, "p &lt; .001", _xlfn.CONCAT("p = ", REPLACE(ROUND(H14, 3),1,2,".")))</f>
        <v>p = .027</v>
      </c>
      <c r="K14" s="21"/>
      <c r="L14" s="21"/>
      <c r="R14" s="22"/>
      <c r="S14" s="22"/>
      <c r="T14" s="21"/>
      <c r="U14" s="21"/>
      <c r="V14" s="23"/>
      <c r="W14" s="23"/>
    </row>
    <row r="15" spans="1:23" ht="15.75" customHeight="1" x14ac:dyDescent="0.25">
      <c r="A15" s="214" t="str">
        <f>A5</f>
        <v>l_t</v>
      </c>
      <c r="B15" s="214">
        <f>[11]l_t_mode_phon_b0!B4</f>
        <v>90.017312438904298</v>
      </c>
      <c r="C15" s="214">
        <f>[11]l_t_mode_phon_b0!C4</f>
        <v>73.6391135775918</v>
      </c>
      <c r="D15" s="214">
        <f>[11]l_t_mode_phon_b0!D4</f>
        <v>106.395511300216</v>
      </c>
      <c r="E15" s="212">
        <f>[11]l_t_mode_phon_b0!E4</f>
        <v>7.3696300157975703</v>
      </c>
      <c r="F15" s="212">
        <f>[11]l_t_mode_phon_b0!F4</f>
        <v>12.2146311613938</v>
      </c>
      <c r="G15" s="212">
        <f>[11]l_t_mode_phon_b0!G4</f>
        <v>10.1944694833414</v>
      </c>
      <c r="H15" s="215">
        <f>[11]l_t_mode_phon_b0!H4</f>
        <v>2.05332603690979E-7</v>
      </c>
      <c r="I15" s="251" t="str">
        <f t="shared" si="4"/>
        <v>p &lt; .001</v>
      </c>
      <c r="K15" s="21"/>
      <c r="L15" s="21"/>
      <c r="R15" s="22"/>
      <c r="S15" s="22"/>
      <c r="T15" s="21"/>
      <c r="U15" s="21"/>
      <c r="V15" s="23"/>
      <c r="W15" s="23"/>
    </row>
    <row r="16" spans="1:23" ht="15.75" customHeight="1" thickBot="1" x14ac:dyDescent="0.3">
      <c r="A16" s="214" t="str">
        <f>A6</f>
        <v>h_t</v>
      </c>
      <c r="B16" s="214">
        <f>[12]h_t_mode_phon_b0!B4</f>
        <v>292.99545977999901</v>
      </c>
      <c r="C16" s="214">
        <f>[12]h_t_mode_phon_b0!C4</f>
        <v>212.14331535644601</v>
      </c>
      <c r="D16" s="214">
        <f>[12]h_t_mode_phon_b0!D4</f>
        <v>373.84760420355201</v>
      </c>
      <c r="E16" s="212">
        <f>[12]h_t_mode_phon_b0!E4</f>
        <v>30.335404396157401</v>
      </c>
      <c r="F16" s="212">
        <f>[12]h_t_mode_phon_b0!F4</f>
        <v>9.6585315281675399</v>
      </c>
      <c r="G16" s="212">
        <f>[12]h_t_mode_phon_b0!G4</f>
        <v>4.4687550267053604</v>
      </c>
      <c r="H16" s="215">
        <f>[12]h_t_mode_phon_b0!H4</f>
        <v>3.6792524706293599E-4</v>
      </c>
      <c r="I16" s="251" t="str">
        <f t="shared" si="4"/>
        <v>p &lt; .001</v>
      </c>
      <c r="K16" s="21"/>
      <c r="L16" s="21"/>
      <c r="R16" s="22"/>
      <c r="S16" s="22"/>
      <c r="T16" s="21"/>
      <c r="U16" s="21"/>
      <c r="V16" s="23"/>
      <c r="W16" s="23"/>
    </row>
    <row r="17" spans="1:23" ht="15.75" customHeight="1" thickTop="1" thickBot="1" x14ac:dyDescent="0.3">
      <c r="A17" s="206" t="s">
        <v>15</v>
      </c>
      <c r="B17" s="206" t="str">
        <f t="shared" ref="B17:H17" si="5">B2</f>
        <v>est.</v>
      </c>
      <c r="C17" s="206" t="str">
        <f t="shared" si="5"/>
        <v>2.5% CI</v>
      </c>
      <c r="D17" s="206" t="str">
        <f t="shared" si="5"/>
        <v>97.5% CI</v>
      </c>
      <c r="E17" s="206" t="str">
        <f t="shared" si="5"/>
        <v>std.error</v>
      </c>
      <c r="F17" s="206" t="str">
        <f t="shared" si="5"/>
        <v>t</v>
      </c>
      <c r="G17" s="206" t="str">
        <f t="shared" si="5"/>
        <v>df</v>
      </c>
      <c r="H17" s="206" t="str">
        <f t="shared" si="5"/>
        <v>p. val.</v>
      </c>
      <c r="I17" s="186" t="s">
        <v>19</v>
      </c>
      <c r="K17" s="21"/>
      <c r="L17" s="21"/>
      <c r="R17" s="22"/>
      <c r="S17" s="22"/>
      <c r="T17" s="21"/>
      <c r="U17" s="21"/>
      <c r="V17" s="23"/>
      <c r="W17" s="23"/>
    </row>
    <row r="18" spans="1:23" ht="15.75" customHeight="1" thickTop="1" thickBot="1" x14ac:dyDescent="0.3">
      <c r="A18" s="208" t="str">
        <f>A3</f>
        <v>l_f0</v>
      </c>
      <c r="B18" s="208">
        <f>[9]l_f0_mode_phon_b0!B5</f>
        <v>-0.96658198810346596</v>
      </c>
      <c r="C18" s="208">
        <f>[9]l_f0_mode_phon_b0!C5</f>
        <v>-3.23492875363694</v>
      </c>
      <c r="D18" s="208">
        <f>[9]l_f0_mode_phon_b0!D5</f>
        <v>1.3017647774300101</v>
      </c>
      <c r="E18" s="209">
        <f>[9]l_f0_mode_phon_b0!E5</f>
        <v>0.71102442018415501</v>
      </c>
      <c r="F18" s="209">
        <f>[9]l_f0_mode_phon_b0!F5</f>
        <v>-1.3594216466617499</v>
      </c>
      <c r="G18" s="209">
        <f>[9]l_f0_mode_phon_b0!G5</f>
        <v>2.98707357359502</v>
      </c>
      <c r="H18" s="210">
        <f>[9]l_f0_mode_phon_b0!H5</f>
        <v>0.267536509297434</v>
      </c>
      <c r="I18" s="192" t="str">
        <f>IF(H18&lt;0.001, "p &lt; .001", _xlfn.CONCAT("p = ", REPLACE(ROUND(H18, 3),1,2,".")))</f>
        <v>p = .268</v>
      </c>
      <c r="K18" s="21"/>
      <c r="L18" s="21"/>
      <c r="R18" s="22"/>
      <c r="S18" s="22"/>
      <c r="T18" s="21"/>
      <c r="U18" s="21"/>
      <c r="V18" s="23"/>
      <c r="W18" s="23"/>
    </row>
    <row r="19" spans="1:23" ht="15.75" customHeight="1" x14ac:dyDescent="0.25">
      <c r="A19" s="211" t="str">
        <f>A4</f>
        <v>h_f0</v>
      </c>
      <c r="B19" s="211">
        <f>[10]h_f0_mode_phon_b0!B5</f>
        <v>6.0998067389630002</v>
      </c>
      <c r="C19" s="211">
        <f>[10]h_f0_mode_phon_b0!C5</f>
        <v>2.6362530579958499</v>
      </c>
      <c r="D19" s="211">
        <f>[10]h_f0_mode_phon_b0!D5</f>
        <v>9.5633604199301594</v>
      </c>
      <c r="E19" s="212">
        <f>[10]h_f0_mode_phon_b0!E5</f>
        <v>1.1233409397399401</v>
      </c>
      <c r="F19" s="212">
        <f>[10]h_f0_mode_phon_b0!F5</f>
        <v>5.4300582513934703</v>
      </c>
      <c r="G19" s="212">
        <f>[10]h_f0_mode_phon_b0!G5</f>
        <v>3.1793416110363499</v>
      </c>
      <c r="H19" s="213">
        <f>[10]h_f0_mode_phon_b0!H5</f>
        <v>1.0526503101944499E-2</v>
      </c>
      <c r="I19" s="251" t="str">
        <f t="shared" ref="I19:I21" si="6">IF(H19&lt;0.001, "p &lt; .001", _xlfn.CONCAT("p = ", REPLACE(ROUND(H19, 3),1,2,".")))</f>
        <v>p = .011</v>
      </c>
      <c r="K19" s="21"/>
      <c r="L19" s="21"/>
      <c r="R19" s="22"/>
      <c r="S19" s="22"/>
      <c r="T19" s="21"/>
      <c r="U19" s="21"/>
      <c r="V19" s="23"/>
      <c r="W19" s="23"/>
    </row>
    <row r="20" spans="1:23" ht="15.75" customHeight="1" x14ac:dyDescent="0.25">
      <c r="A20" s="214" t="str">
        <f>A5</f>
        <v>l_t</v>
      </c>
      <c r="B20" s="214">
        <f>[11]l_t_mode_phon_b0!B5</f>
        <v>74.259830267189301</v>
      </c>
      <c r="C20" s="214">
        <f>[11]l_t_mode_phon_b0!C5</f>
        <v>57.849210747626202</v>
      </c>
      <c r="D20" s="214">
        <f>[11]l_t_mode_phon_b0!D5</f>
        <v>90.6704497867523</v>
      </c>
      <c r="E20" s="212">
        <f>[11]l_t_mode_phon_b0!E5</f>
        <v>7.4140078621876002</v>
      </c>
      <c r="F20" s="212">
        <f>[11]l_t_mode_phon_b0!F5</f>
        <v>10.0161520796226</v>
      </c>
      <c r="G20" s="212">
        <f>[11]l_t_mode_phon_b0!G5</f>
        <v>10.5140174257693</v>
      </c>
      <c r="H20" s="213">
        <f>[11]l_t_mode_phon_b0!H5</f>
        <v>1.0503305291660401E-6</v>
      </c>
      <c r="I20" s="251" t="str">
        <f t="shared" si="6"/>
        <v>p &lt; .001</v>
      </c>
      <c r="K20" s="21"/>
      <c r="L20" s="21"/>
      <c r="R20" s="22"/>
      <c r="S20" s="22"/>
      <c r="T20" s="21"/>
      <c r="U20" s="21"/>
      <c r="V20" s="23"/>
      <c r="W20" s="23"/>
    </row>
    <row r="21" spans="1:23" ht="15.75" customHeight="1" x14ac:dyDescent="0.25">
      <c r="A21" s="214" t="str">
        <f>A6</f>
        <v>h_t</v>
      </c>
      <c r="B21" s="214">
        <f>[12]h_t_mode_phon_b0!B5</f>
        <v>280.46367412455697</v>
      </c>
      <c r="C21" s="214">
        <f>[12]h_t_mode_phon_b0!C5</f>
        <v>199.63346499875499</v>
      </c>
      <c r="D21" s="214">
        <f>[12]h_t_mode_phon_b0!D5</f>
        <v>361.29388325035802</v>
      </c>
      <c r="E21" s="212">
        <f>[12]h_t_mode_phon_b0!E5</f>
        <v>30.356009561034998</v>
      </c>
      <c r="F21" s="212">
        <f>[12]h_t_mode_phon_b0!F5</f>
        <v>9.2391482998002701</v>
      </c>
      <c r="G21" s="212">
        <f>[12]h_t_mode_phon_b0!G5</f>
        <v>4.4811242661705499</v>
      </c>
      <c r="H21" s="215">
        <f>[12]h_t_mode_phon_b0!H5</f>
        <v>4.3895573909402398E-4</v>
      </c>
      <c r="I21" s="251" t="str">
        <f t="shared" si="6"/>
        <v>p &lt; .001</v>
      </c>
      <c r="K21" s="21"/>
      <c r="L21" s="21"/>
      <c r="R21" s="22"/>
      <c r="S21" s="22"/>
      <c r="T21" s="21"/>
      <c r="U21" s="21"/>
      <c r="V21" s="23"/>
      <c r="W21" s="23"/>
    </row>
    <row r="23" spans="1:23" ht="25.8" x14ac:dyDescent="0.25">
      <c r="A23" s="56" t="s">
        <v>8</v>
      </c>
      <c r="B23" s="53"/>
      <c r="C23" s="53"/>
      <c r="D23" s="53"/>
      <c r="E23" s="53"/>
      <c r="F23" s="53"/>
      <c r="G23" s="53"/>
      <c r="H23" s="207"/>
    </row>
    <row r="24" spans="1:23" ht="14.4" x14ac:dyDescent="0.25">
      <c r="A24" s="218" t="s">
        <v>0</v>
      </c>
      <c r="B24" s="180" t="s">
        <v>1</v>
      </c>
      <c r="C24" s="180" t="s">
        <v>5</v>
      </c>
      <c r="D24" s="180" t="s">
        <v>6</v>
      </c>
      <c r="E24" s="180" t="s">
        <v>3</v>
      </c>
      <c r="F24" s="180" t="s">
        <v>20</v>
      </c>
      <c r="G24" s="49"/>
      <c r="H24" s="207"/>
      <c r="R24" s="23"/>
      <c r="S24" s="23"/>
      <c r="T24" s="23"/>
      <c r="U24" s="23"/>
      <c r="V24" s="23"/>
      <c r="W24" s="23"/>
    </row>
    <row r="25" spans="1:23" ht="14.4" x14ac:dyDescent="0.25">
      <c r="A25" s="219" t="s">
        <v>12</v>
      </c>
      <c r="B25" s="220">
        <f>[11]l_t_mode_phon_b0!B2</f>
        <v>89.929313512108493</v>
      </c>
      <c r="C25" s="221">
        <f>[11]l_t_mode_phon_b0!C2</f>
        <v>73.538351456149897</v>
      </c>
      <c r="D25" s="221">
        <f>[11]l_t_mode_phon_b0!D2</f>
        <v>106.320275568067</v>
      </c>
      <c r="E25" s="222">
        <f>[11]l_t_mode_phon_b0!E2</f>
        <v>7.3764376616059</v>
      </c>
      <c r="F25" s="223">
        <f>Table5[[#This Row],[Estimates]]-Table5[[#This Row],[2.5% CI]]</f>
        <v>16.390962055958596</v>
      </c>
      <c r="G25" s="55"/>
      <c r="H25" s="207"/>
    </row>
    <row r="26" spans="1:23" ht="14.4" x14ac:dyDescent="0.25">
      <c r="A26" s="219" t="s">
        <v>13</v>
      </c>
      <c r="B26" s="220">
        <f>[11]l_t_mode_phon_b0!B3</f>
        <v>90.285240771054006</v>
      </c>
      <c r="C26" s="221">
        <f>[11]l_t_mode_phon_b0!C3</f>
        <v>73.887466092161503</v>
      </c>
      <c r="D26" s="221">
        <f>[11]l_t_mode_phon_b0!D3</f>
        <v>106.683015449946</v>
      </c>
      <c r="E26" s="222">
        <f>[11]l_t_mode_phon_b0!E3</f>
        <v>7.3822664400354903</v>
      </c>
      <c r="F26" s="221">
        <f>Table5[[#This Row],[Estimates]]-Table5[[#This Row],[2.5% CI]]</f>
        <v>16.397774678892503</v>
      </c>
      <c r="G26" s="55"/>
      <c r="H26" s="207"/>
    </row>
    <row r="27" spans="1:23" ht="14.4" x14ac:dyDescent="0.25">
      <c r="A27" s="219" t="s">
        <v>14</v>
      </c>
      <c r="B27" s="220">
        <f>[11]l_t_mode_phon_b0!B4</f>
        <v>90.017312438904298</v>
      </c>
      <c r="C27" s="221">
        <f>[11]l_t_mode_phon_b0!C4</f>
        <v>73.6391135775918</v>
      </c>
      <c r="D27" s="221">
        <f>[11]l_t_mode_phon_b0!D4</f>
        <v>106.395511300216</v>
      </c>
      <c r="E27" s="222">
        <f>[11]l_t_mode_phon_b0!E4</f>
        <v>7.3696300157975703</v>
      </c>
      <c r="F27" s="221">
        <f>Table5[[#This Row],[Estimates]]-Table5[[#This Row],[2.5% CI]]</f>
        <v>16.378198861312498</v>
      </c>
      <c r="G27" s="55"/>
      <c r="H27" s="207"/>
    </row>
    <row r="28" spans="1:23" ht="14.4" x14ac:dyDescent="0.25">
      <c r="A28" s="219" t="s">
        <v>15</v>
      </c>
      <c r="B28" s="224">
        <f>[11]l_t_mode_phon_b0!B5</f>
        <v>74.259830267189301</v>
      </c>
      <c r="C28" s="221">
        <f>[11]l_t_mode_phon_b0!C5</f>
        <v>57.849210747626202</v>
      </c>
      <c r="D28" s="221">
        <f>[11]l_t_mode_phon_b0!D5</f>
        <v>90.6704497867523</v>
      </c>
      <c r="E28" s="222">
        <f>[11]l_t_mode_phon_b0!E5</f>
        <v>7.4140078621876002</v>
      </c>
      <c r="F28" s="221">
        <f>Table5[[#This Row],[Estimates]]-Table5[[#This Row],[2.5% CI]]</f>
        <v>16.410619519563099</v>
      </c>
      <c r="G28" s="55"/>
      <c r="H28" s="207"/>
    </row>
    <row r="29" spans="1:23" ht="14.4" x14ac:dyDescent="0.25">
      <c r="A29" s="219" t="s">
        <v>21</v>
      </c>
      <c r="B29" s="220">
        <f>[11]l_t_mode_phon_b0!B6</f>
        <v>89.929313512108493</v>
      </c>
      <c r="C29" s="221">
        <f>[11]l_t_mode_phon_b0!C6</f>
        <v>73.538351456149897</v>
      </c>
      <c r="D29" s="221">
        <f>[11]l_t_mode_phon_b0!D6</f>
        <v>106.320275568067</v>
      </c>
      <c r="E29" s="222">
        <f>[11]l_t_mode_phon_b0!E6</f>
        <v>7.3764376616059</v>
      </c>
      <c r="F29" s="221">
        <f>Table5[[#This Row],[Estimates]]-Table5[[#This Row],[2.5% CI]]</f>
        <v>16.390962055958596</v>
      </c>
      <c r="G29" s="55"/>
      <c r="H29" s="207"/>
    </row>
    <row r="30" spans="1:23" ht="14.4" x14ac:dyDescent="0.25">
      <c r="A30" s="219" t="s">
        <v>22</v>
      </c>
      <c r="B30" s="220">
        <f>[11]l_t_mode_phon_b0!B7</f>
        <v>86.443824810668701</v>
      </c>
      <c r="C30" s="221">
        <f>[11]l_t_mode_phon_b0!C7</f>
        <v>64.320901427844603</v>
      </c>
      <c r="D30" s="221">
        <f>[11]l_t_mode_phon_b0!D7</f>
        <v>108.566748193492</v>
      </c>
      <c r="E30" s="222">
        <f>[11]l_t_mode_phon_b0!E7</f>
        <v>11.000392262748001</v>
      </c>
      <c r="F30" s="221">
        <f>Table5[[#This Row],[Estimates]]-Table5[[#This Row],[2.5% CI]]</f>
        <v>22.122923382824098</v>
      </c>
      <c r="G30" s="55"/>
      <c r="H30" s="207"/>
    </row>
    <row r="31" spans="1:23" ht="14.4" x14ac:dyDescent="0.25">
      <c r="A31" s="219" t="s">
        <v>23</v>
      </c>
      <c r="B31" s="220">
        <f>[11]l_t_mode_phon_b0!B8</f>
        <v>82.8441327885714</v>
      </c>
      <c r="C31" s="221">
        <f>[11]l_t_mode_phon_b0!C8</f>
        <v>65.2229207893987</v>
      </c>
      <c r="D31" s="221">
        <f>[11]l_t_mode_phon_b0!D8</f>
        <v>100.465344787744</v>
      </c>
      <c r="E31" s="222">
        <f>[11]l_t_mode_phon_b0!E8</f>
        <v>8.3372248642924394</v>
      </c>
      <c r="F31" s="221">
        <f>Table5[[#This Row],[Estimates]]-Table5[[#This Row],[2.5% CI]]</f>
        <v>17.621211999172701</v>
      </c>
      <c r="G31" s="55"/>
      <c r="H31" s="207"/>
    </row>
    <row r="32" spans="1:23" ht="14.4" x14ac:dyDescent="0.25">
      <c r="A32" s="225" t="s">
        <v>24</v>
      </c>
      <c r="B32" s="224">
        <f>[11]l_t_mode_phon_b0!B9</f>
        <v>80.649806356779393</v>
      </c>
      <c r="C32" s="226">
        <f>[11]l_t_mode_phon_b0!C9</f>
        <v>63.697614837963201</v>
      </c>
      <c r="D32" s="226">
        <f>[11]l_t_mode_phon_b0!D9</f>
        <v>97.601997875595501</v>
      </c>
      <c r="E32" s="227">
        <f>[11]l_t_mode_phon_b0!E9</f>
        <v>7.8551145430751896</v>
      </c>
      <c r="F32" s="226">
        <f>Table5[[#This Row],[Estimates]]-Table5[[#This Row],[2.5% CI]]</f>
        <v>16.952191518816193</v>
      </c>
      <c r="G32" s="55"/>
      <c r="H32" s="207"/>
    </row>
    <row r="33" spans="1:8" ht="14.4" x14ac:dyDescent="0.25">
      <c r="A33" s="228"/>
      <c r="B33" s="229"/>
      <c r="C33" s="230"/>
      <c r="D33" s="230"/>
      <c r="E33" s="230"/>
      <c r="F33" s="231"/>
      <c r="G33" s="231"/>
      <c r="H33" s="207"/>
    </row>
    <row r="34" spans="1:8" ht="25.8" x14ac:dyDescent="0.25">
      <c r="A34" s="56" t="s">
        <v>9</v>
      </c>
      <c r="B34" s="56"/>
      <c r="C34" s="62"/>
      <c r="D34" s="62"/>
      <c r="E34" s="62"/>
      <c r="F34" s="53"/>
      <c r="G34" s="53"/>
      <c r="H34" s="207"/>
    </row>
    <row r="35" spans="1:8" ht="14.4" x14ac:dyDescent="0.25">
      <c r="A35" s="218" t="s">
        <v>0</v>
      </c>
      <c r="B35" s="180" t="s">
        <v>1</v>
      </c>
      <c r="C35" s="232" t="s">
        <v>5</v>
      </c>
      <c r="D35" s="232" t="s">
        <v>6</v>
      </c>
      <c r="E35" s="232" t="s">
        <v>3</v>
      </c>
      <c r="F35" s="180" t="s">
        <v>20</v>
      </c>
      <c r="G35" s="49"/>
      <c r="H35" s="207"/>
    </row>
    <row r="36" spans="1:8" ht="14.4" x14ac:dyDescent="0.25">
      <c r="A36" s="219" t="str">
        <f t="shared" ref="A36:A43" si="7">A25</f>
        <v>MDC</v>
      </c>
      <c r="B36" s="220">
        <f>[12]h_t_mode_phon_b0!B2</f>
        <v>294.05119086836402</v>
      </c>
      <c r="C36" s="220">
        <f>[12]h_t_mode_phon_b0!C2</f>
        <v>213.20404416200401</v>
      </c>
      <c r="D36" s="220">
        <f>[12]h_t_mode_phon_b0!D2</f>
        <v>374.89833757472502</v>
      </c>
      <c r="E36" s="233">
        <f>[12]h_t_mode_phon_b0!E2</f>
        <v>30.340841593289198</v>
      </c>
      <c r="F36" s="234">
        <f>Table6[[#This Row],[Estimates]]-Table6[[#This Row],[2.5% CI]]</f>
        <v>80.847146706360007</v>
      </c>
      <c r="G36" s="55"/>
      <c r="H36" s="207"/>
    </row>
    <row r="37" spans="1:8" ht="14.4" x14ac:dyDescent="0.25">
      <c r="A37" s="219" t="str">
        <f t="shared" si="7"/>
        <v>MWH</v>
      </c>
      <c r="B37" s="220">
        <f>[12]h_t_mode_phon_b0!B3</f>
        <v>293.60752949351303</v>
      </c>
      <c r="C37" s="220">
        <f>[12]h_t_mode_phon_b0!C3</f>
        <v>212.76384444546301</v>
      </c>
      <c r="D37" s="220">
        <f>[12]h_t_mode_phon_b0!D3</f>
        <v>374.45121454156401</v>
      </c>
      <c r="E37" s="233">
        <f>[12]h_t_mode_phon_b0!E3</f>
        <v>30.344357374470299</v>
      </c>
      <c r="F37" s="220">
        <f>Table6[[#This Row],[Estimates]]-Table6[[#This Row],[2.5% CI]]</f>
        <v>80.84368504805002</v>
      </c>
      <c r="G37" s="55"/>
      <c r="H37" s="207"/>
    </row>
    <row r="38" spans="1:8" ht="14.4" x14ac:dyDescent="0.25">
      <c r="A38" s="219" t="str">
        <f t="shared" si="7"/>
        <v>MYN</v>
      </c>
      <c r="B38" s="220">
        <f>[12]h_t_mode_phon_b0!B4</f>
        <v>292.99545977999901</v>
      </c>
      <c r="C38" s="220">
        <f>[12]h_t_mode_phon_b0!C4</f>
        <v>212.14331535644601</v>
      </c>
      <c r="D38" s="220">
        <f>[12]h_t_mode_phon_b0!D4</f>
        <v>373.84760420355201</v>
      </c>
      <c r="E38" s="233">
        <f>[12]h_t_mode_phon_b0!E4</f>
        <v>30.335404396157401</v>
      </c>
      <c r="F38" s="220">
        <f>Table6[[#This Row],[Estimates]]-Table6[[#This Row],[2.5% CI]]</f>
        <v>80.852144423553</v>
      </c>
      <c r="G38" s="55"/>
      <c r="H38" s="207"/>
    </row>
    <row r="39" spans="1:8" ht="14.4" x14ac:dyDescent="0.25">
      <c r="A39" s="219" t="str">
        <f t="shared" si="7"/>
        <v>MDQ</v>
      </c>
      <c r="B39" s="224">
        <f>[12]h_t_mode_phon_b0!B5</f>
        <v>280.46367412455697</v>
      </c>
      <c r="C39" s="220">
        <f>[12]h_t_mode_phon_b0!C5</f>
        <v>199.63346499875499</v>
      </c>
      <c r="D39" s="220">
        <f>[12]h_t_mode_phon_b0!D5</f>
        <v>361.29388325035802</v>
      </c>
      <c r="E39" s="233">
        <f>[12]h_t_mode_phon_b0!E5</f>
        <v>30.356009561034998</v>
      </c>
      <c r="F39" s="220">
        <f>Table6[[#This Row],[Estimates]]-Table6[[#This Row],[2.5% CI]]</f>
        <v>80.830209125801986</v>
      </c>
      <c r="G39" s="55"/>
      <c r="H39" s="207"/>
    </row>
    <row r="40" spans="1:8" ht="14.4" x14ac:dyDescent="0.25">
      <c r="A40" s="219" t="str">
        <f t="shared" si="7"/>
        <v>L*H</v>
      </c>
      <c r="B40" s="220">
        <f>[12]h_t_mode_phon_b0!B6</f>
        <v>294.05119086836402</v>
      </c>
      <c r="C40" s="220">
        <f>[12]h_t_mode_phon_b0!C6</f>
        <v>213.20404416200401</v>
      </c>
      <c r="D40" s="220">
        <f>[12]h_t_mode_phon_b0!D6</f>
        <v>374.89833757472502</v>
      </c>
      <c r="E40" s="233">
        <f>[12]h_t_mode_phon_b0!E6</f>
        <v>30.340841593289198</v>
      </c>
      <c r="F40" s="220">
        <f>Table6[[#This Row],[Estimates]]-Table6[[#This Row],[2.5% CI]]</f>
        <v>80.847146706360007</v>
      </c>
      <c r="G40" s="55"/>
      <c r="H40" s="207"/>
    </row>
    <row r="41" spans="1:8" ht="14.4" x14ac:dyDescent="0.25">
      <c r="A41" s="219" t="str">
        <f t="shared" si="7"/>
        <v>^[L*]H</v>
      </c>
      <c r="B41" s="220">
        <f>[12]h_t_mode_phon_b0!B7</f>
        <v>222.26560558993</v>
      </c>
      <c r="C41" s="220">
        <f>[12]h_t_mode_phon_b0!C7</f>
        <v>142.35371146867899</v>
      </c>
      <c r="D41" s="220">
        <f>[12]h_t_mode_phon_b0!D7</f>
        <v>302.17749971118099</v>
      </c>
      <c r="E41" s="233">
        <f>[12]h_t_mode_phon_b0!E7</f>
        <v>32.6605745015952</v>
      </c>
      <c r="F41" s="220">
        <f>Table6[[#This Row],[Estimates]]-Table6[[#This Row],[2.5% CI]]</f>
        <v>79.911894121251009</v>
      </c>
      <c r="G41" s="55"/>
      <c r="H41" s="207"/>
    </row>
    <row r="42" spans="1:8" ht="14.4" x14ac:dyDescent="0.25">
      <c r="A42" s="219" t="str">
        <f t="shared" si="7"/>
        <v>L*^[H]</v>
      </c>
      <c r="B42" s="220">
        <f>[12]h_t_mode_phon_b0!B8</f>
        <v>291.53137059724799</v>
      </c>
      <c r="C42" s="220">
        <f>[12]h_t_mode_phon_b0!C8</f>
        <v>211.13541957122101</v>
      </c>
      <c r="D42" s="220">
        <f>[12]h_t_mode_phon_b0!D8</f>
        <v>371.92732162327599</v>
      </c>
      <c r="E42" s="233">
        <f>[12]h_t_mode_phon_b0!E8</f>
        <v>30.877399079162799</v>
      </c>
      <c r="F42" s="220">
        <f>Table6[[#This Row],[Estimates]]-Table6[[#This Row],[2.5% CI]]</f>
        <v>80.395951026026978</v>
      </c>
      <c r="G42" s="55"/>
      <c r="H42" s="207"/>
    </row>
    <row r="43" spans="1:8" ht="14.4" x14ac:dyDescent="0.25">
      <c r="A43" s="219" t="str">
        <f t="shared" si="7"/>
        <v>^[L*H]</v>
      </c>
      <c r="B43" s="224">
        <f>[12]h_t_mode_phon_b0!B9</f>
        <v>290.49541298269202</v>
      </c>
      <c r="C43" s="224">
        <f>[12]h_t_mode_phon_b0!C9</f>
        <v>209.885246119117</v>
      </c>
      <c r="D43" s="224">
        <f>[12]h_t_mode_phon_b0!D9</f>
        <v>371.10557984626797</v>
      </c>
      <c r="E43" s="235">
        <f>[12]h_t_mode_phon_b0!E9</f>
        <v>30.5972589270249</v>
      </c>
      <c r="F43" s="224">
        <f>Table6[[#This Row],[Estimates]]-Table6[[#This Row],[2.5% CI]]</f>
        <v>80.610166863575017</v>
      </c>
      <c r="G43" s="55"/>
      <c r="H43" s="207"/>
    </row>
    <row r="45" spans="1:8" ht="29.4" x14ac:dyDescent="0.25">
      <c r="A45" s="56" t="s">
        <v>80</v>
      </c>
      <c r="B45" s="53"/>
      <c r="C45" s="53"/>
      <c r="D45" s="53"/>
      <c r="E45" s="53"/>
      <c r="F45" s="53"/>
      <c r="G45" s="53"/>
    </row>
    <row r="46" spans="1:8" ht="14.4" x14ac:dyDescent="0.25">
      <c r="A46" s="236" t="s">
        <v>0</v>
      </c>
      <c r="B46" s="180" t="s">
        <v>1</v>
      </c>
      <c r="C46" s="180" t="s">
        <v>5</v>
      </c>
      <c r="D46" s="180" t="s">
        <v>6</v>
      </c>
      <c r="E46" s="180" t="s">
        <v>3</v>
      </c>
      <c r="F46" s="180" t="s">
        <v>20</v>
      </c>
      <c r="G46" s="49"/>
    </row>
    <row r="47" spans="1:8" ht="14.4" x14ac:dyDescent="0.25">
      <c r="A47" s="219" t="str">
        <f t="shared" ref="A47:A54" si="8">A36</f>
        <v>MDC</v>
      </c>
      <c r="B47" s="237">
        <f>[9]l_f0_mode_phon_b0!B2</f>
        <v>-2.33476525133297</v>
      </c>
      <c r="C47" s="237">
        <f>[9]l_f0_mode_phon_b0!C2</f>
        <v>-4.61671876402667</v>
      </c>
      <c r="D47" s="237">
        <f>[9]l_f0_mode_phon_b0!D2</f>
        <v>-5.2811738639284997E-2</v>
      </c>
      <c r="E47" s="233">
        <f>[9]l_f0_mode_phon_b0!E2</f>
        <v>0.707999084236697</v>
      </c>
      <c r="F47" s="182">
        <f>Table1[[#This Row],[Estimates]]-Table1[[#This Row],[2.5% CI]]</f>
        <v>2.2819535126937001</v>
      </c>
      <c r="G47" s="55"/>
    </row>
    <row r="48" spans="1:8" ht="14.4" x14ac:dyDescent="0.25">
      <c r="A48" s="219" t="str">
        <f t="shared" si="8"/>
        <v>MWH</v>
      </c>
      <c r="B48" s="237">
        <f>[9]l_f0_mode_phon_b0!B3</f>
        <v>-2.2252320557365701</v>
      </c>
      <c r="C48" s="237">
        <f>[9]l_f0_mode_phon_b0!C3</f>
        <v>-4.5055599612283102</v>
      </c>
      <c r="D48" s="237">
        <f>[9]l_f0_mode_phon_b0!D3</f>
        <v>5.5095849755161901E-2</v>
      </c>
      <c r="E48" s="233">
        <f>[9]l_f0_mode_phon_b0!E3</f>
        <v>0.70838742595834303</v>
      </c>
      <c r="F48" s="233">
        <f>Table1[[#This Row],[Estimates]]-Table1[[#This Row],[2.5% CI]]</f>
        <v>2.28032790549174</v>
      </c>
      <c r="G48" s="55"/>
    </row>
    <row r="49" spans="1:7" ht="14.4" x14ac:dyDescent="0.25">
      <c r="A49" s="219" t="str">
        <f t="shared" si="8"/>
        <v>MYN</v>
      </c>
      <c r="B49" s="237">
        <f>[9]l_f0_mode_phon_b0!B4</f>
        <v>-1.2644469455390599</v>
      </c>
      <c r="C49" s="237">
        <f>[9]l_f0_mode_phon_b0!C4</f>
        <v>-3.5475003312728601</v>
      </c>
      <c r="D49" s="237">
        <f>[9]l_f0_mode_phon_b0!D4</f>
        <v>1.0186064401947199</v>
      </c>
      <c r="E49" s="233">
        <f>[9]l_f0_mode_phon_b0!E4</f>
        <v>0.70768537330219505</v>
      </c>
      <c r="F49" s="233">
        <f>Table1[[#This Row],[Estimates]]-Table1[[#This Row],[2.5% CI]]</f>
        <v>2.2830533857338002</v>
      </c>
      <c r="G49" s="55"/>
    </row>
    <row r="50" spans="1:7" ht="14.4" x14ac:dyDescent="0.25">
      <c r="A50" s="219" t="str">
        <f t="shared" si="8"/>
        <v>MDQ</v>
      </c>
      <c r="B50" s="238">
        <f>[9]l_f0_mode_phon_b0!B5</f>
        <v>-0.96658198810346596</v>
      </c>
      <c r="C50" s="237">
        <f>[9]l_f0_mode_phon_b0!C5</f>
        <v>-3.23492875363694</v>
      </c>
      <c r="D50" s="237">
        <f>[9]l_f0_mode_phon_b0!D5</f>
        <v>1.3017647774300101</v>
      </c>
      <c r="E50" s="233">
        <f>[9]l_f0_mode_phon_b0!E5</f>
        <v>0.71102442018415501</v>
      </c>
      <c r="F50" s="233">
        <f>Table1[[#This Row],[Estimates]]-Table1[[#This Row],[2.5% CI]]</f>
        <v>2.2683467655334741</v>
      </c>
      <c r="G50" s="55"/>
    </row>
    <row r="51" spans="1:7" ht="14.4" x14ac:dyDescent="0.25">
      <c r="A51" s="219" t="str">
        <f t="shared" si="8"/>
        <v>L*H</v>
      </c>
      <c r="B51" s="237">
        <f>[9]l_f0_mode_phon_b0!B6</f>
        <v>-2.33476525133297</v>
      </c>
      <c r="C51" s="237">
        <f>[9]l_f0_mode_phon_b0!C6</f>
        <v>-4.61671876402667</v>
      </c>
      <c r="D51" s="237">
        <f>[9]l_f0_mode_phon_b0!D6</f>
        <v>-5.2811738639284997E-2</v>
      </c>
      <c r="E51" s="233">
        <f>[9]l_f0_mode_phon_b0!E6</f>
        <v>0.707999084236697</v>
      </c>
      <c r="F51" s="233">
        <f>Table1[[#This Row],[Estimates]]-Table1[[#This Row],[2.5% CI]]</f>
        <v>2.2819535126937001</v>
      </c>
      <c r="G51" s="55"/>
    </row>
    <row r="52" spans="1:7" ht="14.4" x14ac:dyDescent="0.25">
      <c r="A52" s="219" t="str">
        <f t="shared" si="8"/>
        <v>^[L*]H</v>
      </c>
      <c r="B52" s="237">
        <f>[9]l_f0_mode_phon_b0!B7</f>
        <v>0.53316395417173801</v>
      </c>
      <c r="C52" s="237">
        <f>[9]l_f0_mode_phon_b0!C7</f>
        <v>-1.56564631866027</v>
      </c>
      <c r="D52" s="237">
        <f>[9]l_f0_mode_phon_b0!D7</f>
        <v>2.6319742270037501</v>
      </c>
      <c r="E52" s="233">
        <f>[9]l_f0_mode_phon_b0!E7</f>
        <v>0.90829040330119104</v>
      </c>
      <c r="F52" s="233">
        <f>Table1[[#This Row],[Estimates]]-Table1[[#This Row],[2.5% CI]]</f>
        <v>2.0988102728320079</v>
      </c>
      <c r="G52" s="55"/>
    </row>
    <row r="53" spans="1:7" ht="14.4" x14ac:dyDescent="0.25">
      <c r="A53" s="219" t="str">
        <f t="shared" si="8"/>
        <v>L*^[H]</v>
      </c>
      <c r="B53" s="237">
        <f>[9]l_f0_mode_phon_b0!B8</f>
        <v>-1.9878104405222601</v>
      </c>
      <c r="C53" s="237">
        <f>[9]l_f0_mode_phon_b0!C8</f>
        <v>-4.1214184213063998</v>
      </c>
      <c r="D53" s="237">
        <f>[9]l_f0_mode_phon_b0!D8</f>
        <v>0.14579754026187899</v>
      </c>
      <c r="E53" s="233">
        <f>[9]l_f0_mode_phon_b0!E8</f>
        <v>0.75930130930786599</v>
      </c>
      <c r="F53" s="233">
        <f>Table1[[#This Row],[Estimates]]-Table1[[#This Row],[2.5% CI]]</f>
        <v>2.1336079807841397</v>
      </c>
      <c r="G53" s="55"/>
    </row>
    <row r="54" spans="1:7" ht="14.4" x14ac:dyDescent="0.25">
      <c r="A54" s="219" t="str">
        <f t="shared" si="8"/>
        <v>^[L*H]</v>
      </c>
      <c r="B54" s="238">
        <f>[9]l_f0_mode_phon_b0!B9</f>
        <v>-8.9523017736445498E-2</v>
      </c>
      <c r="C54" s="238">
        <f>[9]l_f0_mode_phon_b0!C9</f>
        <v>-2.28608923199213</v>
      </c>
      <c r="D54" s="238">
        <f>[9]l_f0_mode_phon_b0!D9</f>
        <v>2.10704319651924</v>
      </c>
      <c r="E54" s="235">
        <f>[9]l_f0_mode_phon_b0!E9</f>
        <v>0.731974546503807</v>
      </c>
      <c r="F54" s="235">
        <f>Table1[[#This Row],[Estimates]]-Table1[[#This Row],[2.5% CI]]</f>
        <v>2.1965662142556845</v>
      </c>
      <c r="G54" s="55"/>
    </row>
    <row r="55" spans="1:7" ht="14.4" x14ac:dyDescent="0.25">
      <c r="A55" s="231"/>
      <c r="B55" s="55"/>
      <c r="C55" s="228"/>
      <c r="D55" s="239"/>
      <c r="E55" s="240"/>
      <c r="F55" s="240"/>
      <c r="G55" s="240"/>
    </row>
    <row r="56" spans="1:7" ht="29.4" x14ac:dyDescent="0.25">
      <c r="A56" s="56" t="s">
        <v>81</v>
      </c>
      <c r="B56" s="56"/>
      <c r="C56" s="53"/>
      <c r="D56" s="179"/>
      <c r="E56" s="62"/>
      <c r="F56" s="62"/>
      <c r="G56" s="62"/>
    </row>
    <row r="57" spans="1:7" ht="14.4" x14ac:dyDescent="0.25">
      <c r="A57" s="218" t="s">
        <v>0</v>
      </c>
      <c r="B57" s="241" t="s">
        <v>1</v>
      </c>
      <c r="C57" s="232" t="s">
        <v>5</v>
      </c>
      <c r="D57" s="232" t="s">
        <v>6</v>
      </c>
      <c r="E57" s="232" t="s">
        <v>3</v>
      </c>
      <c r="F57" s="180" t="s">
        <v>20</v>
      </c>
      <c r="G57" s="49"/>
    </row>
    <row r="58" spans="1:7" ht="14.4" x14ac:dyDescent="0.25">
      <c r="A58" s="219" t="str">
        <f t="shared" ref="A58:A65" si="9">A25</f>
        <v>MDC</v>
      </c>
      <c r="B58" s="237">
        <f>[10]h_f0_mode_phon_b0!B2</f>
        <v>3.4168136826367101</v>
      </c>
      <c r="C58" s="237">
        <f>[10]h_f0_mode_phon_b0!C2</f>
        <v>-5.4105593324600798E-2</v>
      </c>
      <c r="D58" s="237">
        <f>[10]h_f0_mode_phon_b0!D2</f>
        <v>6.8877329585980203</v>
      </c>
      <c r="E58" s="233">
        <f>[10]h_f0_mode_phon_b0!E2</f>
        <v>1.12147132940085</v>
      </c>
      <c r="F58" s="182">
        <f>Table3[[#This Row],[Estimates]]-Table3[[#This Row],[2.5% CI]]</f>
        <v>3.470919275961311</v>
      </c>
      <c r="G58" s="55"/>
    </row>
    <row r="59" spans="1:7" ht="14.4" x14ac:dyDescent="0.25">
      <c r="A59" s="219" t="str">
        <f t="shared" si="9"/>
        <v>MWH</v>
      </c>
      <c r="B59" s="237">
        <f>[10]h_f0_mode_phon_b0!B3</f>
        <v>3.8354463890968402</v>
      </c>
      <c r="C59" s="237">
        <f>[10]h_f0_mode_phon_b0!C3</f>
        <v>0.36592782982037297</v>
      </c>
      <c r="D59" s="237">
        <f>[10]h_f0_mode_phon_b0!D3</f>
        <v>7.3049649483733097</v>
      </c>
      <c r="E59" s="233">
        <f>[10]h_f0_mode_phon_b0!E3</f>
        <v>1.1218841719489401</v>
      </c>
      <c r="F59" s="233">
        <f>Table3[[#This Row],[Estimates]]-Table3[[#This Row],[2.5% CI]]</f>
        <v>3.4695185592764672</v>
      </c>
      <c r="G59" s="55"/>
    </row>
    <row r="60" spans="1:7" ht="14.4" x14ac:dyDescent="0.25">
      <c r="A60" s="219" t="str">
        <f t="shared" si="9"/>
        <v>MYN</v>
      </c>
      <c r="B60" s="237">
        <f>[10]h_f0_mode_phon_b0!B4</f>
        <v>4.3670221460573</v>
      </c>
      <c r="C60" s="237">
        <f>[10]h_f0_mode_phon_b0!C4</f>
        <v>0.89405967034982803</v>
      </c>
      <c r="D60" s="237">
        <f>[10]h_f0_mode_phon_b0!D4</f>
        <v>7.8399846217647804</v>
      </c>
      <c r="E60" s="233">
        <f>[10]h_f0_mode_phon_b0!E4</f>
        <v>1.1208134327885799</v>
      </c>
      <c r="F60" s="233">
        <f>Table3[[#This Row],[Estimates]]-Table3[[#This Row],[2.5% CI]]</f>
        <v>3.472962475707472</v>
      </c>
      <c r="G60" s="55"/>
    </row>
    <row r="61" spans="1:7" ht="14.4" x14ac:dyDescent="0.25">
      <c r="A61" s="219" t="str">
        <f t="shared" si="9"/>
        <v>MDQ</v>
      </c>
      <c r="B61" s="238">
        <f>[10]h_f0_mode_phon_b0!B5</f>
        <v>6.0998067389630002</v>
      </c>
      <c r="C61" s="237">
        <f>[10]h_f0_mode_phon_b0!C5</f>
        <v>2.6362530579958499</v>
      </c>
      <c r="D61" s="237">
        <f>[10]h_f0_mode_phon_b0!D5</f>
        <v>9.5633604199301594</v>
      </c>
      <c r="E61" s="233">
        <f>[10]h_f0_mode_phon_b0!E5</f>
        <v>1.1233409397399401</v>
      </c>
      <c r="F61" s="233">
        <f>Table3[[#This Row],[Estimates]]-Table3[[#This Row],[2.5% CI]]</f>
        <v>3.4635536809671503</v>
      </c>
      <c r="G61" s="55"/>
    </row>
    <row r="62" spans="1:7" ht="14.4" x14ac:dyDescent="0.25">
      <c r="A62" s="219" t="str">
        <f t="shared" si="9"/>
        <v>L*H</v>
      </c>
      <c r="B62" s="237">
        <f>[10]h_f0_mode_phon_b0!B6</f>
        <v>3.4168136826367101</v>
      </c>
      <c r="C62" s="237">
        <f>[10]h_f0_mode_phon_b0!C6</f>
        <v>-5.4105593324600798E-2</v>
      </c>
      <c r="D62" s="237">
        <f>[10]h_f0_mode_phon_b0!D6</f>
        <v>6.8877329585980203</v>
      </c>
      <c r="E62" s="233">
        <f>[10]h_f0_mode_phon_b0!E6</f>
        <v>1.12147132940085</v>
      </c>
      <c r="F62" s="233">
        <f>Table3[[#This Row],[Estimates]]-Table3[[#This Row],[2.5% CI]]</f>
        <v>3.470919275961311</v>
      </c>
      <c r="G62" s="55"/>
    </row>
    <row r="63" spans="1:7" ht="14.4" x14ac:dyDescent="0.25">
      <c r="A63" s="219" t="str">
        <f t="shared" si="9"/>
        <v>^[L*]H</v>
      </c>
      <c r="B63" s="237">
        <f>[10]h_f0_mode_phon_b0!B7</f>
        <v>3.2183699671122299</v>
      </c>
      <c r="C63" s="237">
        <f>[10]h_f0_mode_phon_b0!C7</f>
        <v>-2.6737645571072301E-2</v>
      </c>
      <c r="D63" s="237">
        <f>[10]h_f0_mode_phon_b0!D7</f>
        <v>6.4634775797955299</v>
      </c>
      <c r="E63" s="233">
        <f>[10]h_f0_mode_phon_b0!E7</f>
        <v>1.38250764841868</v>
      </c>
      <c r="F63" s="233">
        <f>Table3[[#This Row],[Estimates]]-Table3[[#This Row],[2.5% CI]]</f>
        <v>3.2451076126833023</v>
      </c>
      <c r="G63" s="55"/>
    </row>
    <row r="64" spans="1:7" ht="14.4" x14ac:dyDescent="0.25">
      <c r="A64" s="219" t="str">
        <f t="shared" si="9"/>
        <v>L*^[H]</v>
      </c>
      <c r="B64" s="237">
        <f>[10]h_f0_mode_phon_b0!B8</f>
        <v>6.68677793994088</v>
      </c>
      <c r="C64" s="237">
        <f>[10]h_f0_mode_phon_b0!C8</f>
        <v>3.37570442574137</v>
      </c>
      <c r="D64" s="237">
        <f>[10]h_f0_mode_phon_b0!D8</f>
        <v>9.9978514541404007</v>
      </c>
      <c r="E64" s="233">
        <f>[10]h_f0_mode_phon_b0!E8</f>
        <v>1.18541586014366</v>
      </c>
      <c r="F64" s="233">
        <f>Table3[[#This Row],[Estimates]]-Table3[[#This Row],[2.5% CI]]</f>
        <v>3.31107351419951</v>
      </c>
      <c r="G64" s="55"/>
    </row>
    <row r="65" spans="1:23" ht="14.4" x14ac:dyDescent="0.25">
      <c r="A65" s="219" t="str">
        <f t="shared" si="9"/>
        <v>^[L*H]</v>
      </c>
      <c r="B65" s="238">
        <f>[10]h_f0_mode_phon_b0!B9</f>
        <v>6.3112649583948404</v>
      </c>
      <c r="C65" s="238">
        <f>[10]h_f0_mode_phon_b0!C9</f>
        <v>2.9324993622075</v>
      </c>
      <c r="D65" s="238">
        <f>[10]h_f0_mode_phon_b0!D9</f>
        <v>9.6900305545821901</v>
      </c>
      <c r="E65" s="235">
        <f>[10]h_f0_mode_phon_b0!E9</f>
        <v>1.1526504282805701</v>
      </c>
      <c r="F65" s="235">
        <f>Table3[[#This Row],[Estimates]]-Table3[[#This Row],[2.5% CI]]</f>
        <v>3.3787655961873404</v>
      </c>
      <c r="G65" s="55"/>
    </row>
    <row r="66" spans="1:23" x14ac:dyDescent="0.25">
      <c r="A66" s="242"/>
      <c r="I66" s="242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spans="1:23" x14ac:dyDescent="0.25">
      <c r="A67" s="242"/>
      <c r="I67" s="242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spans="1:23" x14ac:dyDescent="0.25">
      <c r="A68" s="242"/>
      <c r="I68" s="242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spans="1:23" x14ac:dyDescent="0.25">
      <c r="A69" s="242"/>
      <c r="I69" s="242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spans="1:23" x14ac:dyDescent="0.25">
      <c r="A70" s="242"/>
      <c r="I70" s="242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x14ac:dyDescent="0.25">
      <c r="A71" s="242"/>
      <c r="I71" s="242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spans="1:23" x14ac:dyDescent="0.25">
      <c r="A72" s="242"/>
      <c r="I72" s="24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3" x14ac:dyDescent="0.25">
      <c r="A73" s="242"/>
      <c r="I73" s="242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spans="1:23" x14ac:dyDescent="0.25">
      <c r="A74" s="242"/>
      <c r="I74" s="242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3" x14ac:dyDescent="0.25">
      <c r="A75" s="242"/>
      <c r="I75" s="242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3" x14ac:dyDescent="0.25">
      <c r="A76" s="242"/>
      <c r="I76" s="242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x14ac:dyDescent="0.25">
      <c r="A77" s="242"/>
      <c r="I77" s="242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x14ac:dyDescent="0.25">
      <c r="A78" s="242"/>
      <c r="I78" s="242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x14ac:dyDescent="0.25">
      <c r="A79" s="242"/>
      <c r="I79" s="242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spans="1:23" x14ac:dyDescent="0.25">
      <c r="A80" s="242"/>
      <c r="I80" s="242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spans="1:23" x14ac:dyDescent="0.25">
      <c r="A81" s="242"/>
      <c r="I81" s="242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spans="1:23" x14ac:dyDescent="0.25">
      <c r="A82" s="242"/>
      <c r="I82" s="242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spans="1:23" x14ac:dyDescent="0.25">
      <c r="A83" s="242"/>
      <c r="I83" s="242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spans="1:23" x14ac:dyDescent="0.25">
      <c r="A84" s="242"/>
      <c r="I84" s="242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spans="1:23" x14ac:dyDescent="0.25">
      <c r="A85" s="242"/>
      <c r="I85" s="242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spans="1:23" x14ac:dyDescent="0.25">
      <c r="A86" s="242"/>
      <c r="I86" s="242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spans="1:23" x14ac:dyDescent="0.25">
      <c r="A87" s="242"/>
      <c r="I87" s="242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spans="1:23" x14ac:dyDescent="0.25">
      <c r="A88" s="242"/>
      <c r="I88" s="242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spans="1:23" x14ac:dyDescent="0.25">
      <c r="A89" s="242"/>
      <c r="I89" s="242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spans="1:23" x14ac:dyDescent="0.25">
      <c r="A90" s="242"/>
      <c r="I90" s="242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spans="1:23" x14ac:dyDescent="0.25">
      <c r="A91" s="242"/>
      <c r="I91" s="242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spans="1:23" x14ac:dyDescent="0.25">
      <c r="A92" s="242"/>
      <c r="I92" s="242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spans="1:23" x14ac:dyDescent="0.25">
      <c r="A93" s="242"/>
      <c r="I93" s="242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spans="1:23" x14ac:dyDescent="0.25">
      <c r="A94" s="242"/>
      <c r="I94" s="242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  <row r="95" spans="1:23" x14ac:dyDescent="0.25">
      <c r="A95" s="242"/>
      <c r="I95" s="242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spans="1:23" x14ac:dyDescent="0.25">
      <c r="A96" s="242"/>
      <c r="I96" s="242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</row>
    <row r="97" spans="1:23" x14ac:dyDescent="0.25">
      <c r="A97" s="242"/>
      <c r="I97" s="242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</row>
    <row r="98" spans="1:23" x14ac:dyDescent="0.25">
      <c r="A98" s="242"/>
      <c r="I98" s="242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</row>
    <row r="99" spans="1:23" x14ac:dyDescent="0.25">
      <c r="A99" s="242"/>
      <c r="I99" s="242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spans="1:23" x14ac:dyDescent="0.25">
      <c r="A100" s="242"/>
      <c r="I100" s="242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</row>
    <row r="101" spans="1:23" x14ac:dyDescent="0.25">
      <c r="A101" s="242"/>
      <c r="I101" s="242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</row>
    <row r="102" spans="1:23" x14ac:dyDescent="0.25">
      <c r="A102" s="242"/>
      <c r="I102" s="242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</sheetData>
  <mergeCells count="1">
    <mergeCell ref="A1:I1"/>
  </mergeCells>
  <phoneticPr fontId="24" type="noConversion"/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2"/>
  <sheetViews>
    <sheetView showGridLines="0" zoomScale="70" zoomScaleNormal="70" zoomScaleSheetLayoutView="55" workbookViewId="0">
      <selection activeCell="A2" sqref="A2:A31"/>
    </sheetView>
  </sheetViews>
  <sheetFormatPr defaultColWidth="13.88671875" defaultRowHeight="13.2" x14ac:dyDescent="0.25"/>
  <cols>
    <col min="1" max="1" width="17.109375" style="30" customWidth="1"/>
    <col min="2" max="6" width="11.88671875" style="23" customWidth="1"/>
    <col min="7" max="7" width="11.88671875" style="32" customWidth="1"/>
    <col min="8" max="10" width="11.88671875" style="31" customWidth="1"/>
    <col min="11" max="12" width="11.44140625" style="23" customWidth="1"/>
    <col min="13" max="14" width="8.6640625" style="23" customWidth="1"/>
    <col min="15" max="15" width="11.44140625" style="29" customWidth="1"/>
    <col min="16" max="16" width="9.6640625" style="29" customWidth="1"/>
    <col min="17" max="17" width="11.44140625" style="29" customWidth="1"/>
    <col min="18" max="19" width="7.6640625" style="23" customWidth="1"/>
    <col min="20" max="21" width="11.44140625" style="23" customWidth="1"/>
    <col min="22" max="23" width="8.6640625" style="23" customWidth="1"/>
    <col min="24" max="24" width="11.44140625" style="29" customWidth="1"/>
    <col min="25" max="25" width="9.6640625" style="29" customWidth="1"/>
    <col min="26" max="26" width="11.44140625" style="29" customWidth="1"/>
    <col min="27" max="28" width="7.6640625" style="23" customWidth="1"/>
    <col min="29" max="30" width="11.44140625" style="23" customWidth="1"/>
    <col min="31" max="32" width="8.6640625" style="23" customWidth="1"/>
    <col min="33" max="33" width="11.44140625" style="29" customWidth="1"/>
    <col min="34" max="34" width="9.6640625" style="29" customWidth="1"/>
    <col min="35" max="35" width="11.44140625" style="29" customWidth="1"/>
    <col min="36" max="37" width="7.6640625" style="23" customWidth="1"/>
    <col min="38" max="39" width="11.44140625" style="23" customWidth="1"/>
    <col min="40" max="41" width="8.6640625" style="23" customWidth="1"/>
    <col min="42" max="42" width="11.44140625" style="29" customWidth="1"/>
    <col min="43" max="43" width="9.6640625" style="29" customWidth="1"/>
    <col min="44" max="44" width="11.44140625" style="29" customWidth="1"/>
    <col min="45" max="46" width="7.6640625" style="23" customWidth="1"/>
    <col min="47" max="48" width="11.44140625" style="23" customWidth="1"/>
    <col min="49" max="50" width="8.6640625" style="23" customWidth="1"/>
    <col min="51" max="51" width="11.44140625" style="29" customWidth="1"/>
    <col min="52" max="52" width="9.6640625" style="29" customWidth="1"/>
    <col min="53" max="53" width="11.44140625" style="29" customWidth="1"/>
    <col min="54" max="55" width="11.44140625" style="23" customWidth="1"/>
    <col min="56" max="16384" width="13.88671875" style="23"/>
  </cols>
  <sheetData>
    <row r="1" spans="1:53" s="116" customFormat="1" ht="24" customHeight="1" thickBot="1" x14ac:dyDescent="0.45">
      <c r="A1" s="275" t="s">
        <v>52</v>
      </c>
      <c r="B1" s="275"/>
      <c r="C1" s="275"/>
      <c r="D1" s="275"/>
      <c r="E1" s="275"/>
      <c r="F1" s="275"/>
      <c r="G1" s="275"/>
      <c r="H1" s="275"/>
      <c r="I1" s="275"/>
      <c r="J1" s="275"/>
      <c r="O1" s="117"/>
      <c r="P1" s="117"/>
      <c r="Q1" s="117"/>
      <c r="X1" s="117"/>
      <c r="Y1" s="117"/>
      <c r="Z1" s="117"/>
      <c r="AG1" s="117"/>
      <c r="AH1" s="117"/>
      <c r="AI1" s="117"/>
      <c r="AP1" s="117"/>
      <c r="AQ1" s="117"/>
      <c r="AR1" s="117"/>
      <c r="AY1" s="117"/>
      <c r="AZ1" s="117"/>
      <c r="BA1" s="117"/>
    </row>
    <row r="2" spans="1:53" s="26" customFormat="1" ht="15.75" customHeight="1" thickTop="1" thickBot="1" x14ac:dyDescent="0.3">
      <c r="A2" s="185" t="s">
        <v>94</v>
      </c>
      <c r="B2" s="206" t="s">
        <v>30</v>
      </c>
      <c r="C2" s="206" t="s">
        <v>5</v>
      </c>
      <c r="D2" s="206" t="s">
        <v>31</v>
      </c>
      <c r="E2" s="206" t="str">
        <f>[9]l_f0_mode_phon_b0!E1</f>
        <v>std.error</v>
      </c>
      <c r="F2" s="185" t="s">
        <v>4</v>
      </c>
      <c r="G2" s="198" t="s">
        <v>7</v>
      </c>
      <c r="H2" s="186" t="s">
        <v>16</v>
      </c>
      <c r="I2" s="186" t="s">
        <v>19</v>
      </c>
      <c r="J2" s="90" t="s">
        <v>46</v>
      </c>
    </row>
    <row r="3" spans="1:53" s="27" customFormat="1" ht="15.75" customHeight="1" thickTop="1" thickBot="1" x14ac:dyDescent="0.3">
      <c r="A3" s="244" t="s">
        <v>26</v>
      </c>
      <c r="B3" s="244">
        <f>[13]l_f0_mode_phon_b1!C2</f>
        <v>0.10953319660482599</v>
      </c>
      <c r="C3" s="244">
        <f>[13]l_f0_mode_phon_b1!D2</f>
        <v>-0.16353737783882699</v>
      </c>
      <c r="D3" s="244">
        <f>[13]l_f0_mode_phon_b1!E2</f>
        <v>0.38260377104847998</v>
      </c>
      <c r="E3" s="245">
        <f>[13]l_f0_mode_phon_b1!F2</f>
        <v>0.13904606499414501</v>
      </c>
      <c r="F3" s="245">
        <f>[13]l_f0_mode_phon_b1!G2</f>
        <v>0.78774754689705295</v>
      </c>
      <c r="G3" s="244">
        <f>[13]l_f0_mode_phon_b1!H2</f>
        <v>606.100446642576</v>
      </c>
      <c r="H3" s="246">
        <f>[13]l_f0_mode_phon_b1!I2</f>
        <v>0.43115234135213099</v>
      </c>
      <c r="I3" s="192" t="str">
        <f>IF(H3&lt;0.001, "p &lt; .001", _xlfn.CONCAT("p = ", REPLACE(ROUND(H3, 3),1,2,".")))</f>
        <v>p = .431</v>
      </c>
      <c r="J3" s="91">
        <f>B3-C3</f>
        <v>0.27307057444365301</v>
      </c>
    </row>
    <row r="4" spans="1:53" s="27" customFormat="1" ht="15.75" customHeight="1" x14ac:dyDescent="0.25">
      <c r="A4" s="248" t="s">
        <v>27</v>
      </c>
      <c r="B4" s="248">
        <f>[14]h_f0_mode_phon_b1!C2</f>
        <v>0.418632707057913</v>
      </c>
      <c r="C4" s="248">
        <f>[14]h_f0_mode_phon_b1!D2</f>
        <v>3.1727753547632603E-2</v>
      </c>
      <c r="D4" s="248">
        <f>[14]h_f0_mode_phon_b1!E2</f>
        <v>0.80553766056819498</v>
      </c>
      <c r="E4" s="249">
        <f>[14]h_f0_mode_phon_b1!F2</f>
        <v>0.19701438481852099</v>
      </c>
      <c r="F4" s="249">
        <f>[14]h_f0_mode_phon_b1!G2</f>
        <v>2.1248839644045998</v>
      </c>
      <c r="G4" s="248">
        <f>[14]h_f0_mode_phon_b1!H2</f>
        <v>613.04837248753404</v>
      </c>
      <c r="H4" s="250">
        <f>[14]h_f0_mode_phon_b1!I2</f>
        <v>3.39956908173479E-2</v>
      </c>
      <c r="I4" s="251" t="str">
        <f t="shared" ref="I4:I6" si="0">IF(H4&lt;0.001, "p &lt; .001", _xlfn.CONCAT("p = ", REPLACE(ROUND(H4, 3),1,2,".")))</f>
        <v>p = .034</v>
      </c>
      <c r="J4" s="91">
        <f t="shared" ref="J4:J6" si="1">B4-C4</f>
        <v>0.38690495351028042</v>
      </c>
    </row>
    <row r="5" spans="1:53" s="28" customFormat="1" ht="15.75" customHeight="1" x14ac:dyDescent="0.25">
      <c r="A5" s="252" t="s">
        <v>28</v>
      </c>
      <c r="B5" s="248">
        <f>[15]l_t_mode_phon_b1!C2</f>
        <v>0.35593861332395399</v>
      </c>
      <c r="C5" s="248">
        <f>[15]l_t_mode_phon_b1!D2</f>
        <v>-3.5475078326291198</v>
      </c>
      <c r="D5" s="248">
        <f>[15]l_t_mode_phon_b1!E2</f>
        <v>4.2593850592770304</v>
      </c>
      <c r="E5" s="248">
        <f>[15]l_t_mode_phon_b1!F2</f>
        <v>1.9876265285777801</v>
      </c>
      <c r="F5" s="249">
        <f>[15]l_t_mode_phon_b1!G2</f>
        <v>0.17907721003232899</v>
      </c>
      <c r="G5" s="248">
        <f>[15]l_t_mode_phon_b1!H2</f>
        <v>608.03194043001304</v>
      </c>
      <c r="H5" s="250">
        <f>[15]l_t_mode_phon_b1!I2</f>
        <v>0.85793673157481498</v>
      </c>
      <c r="I5" s="251" t="str">
        <f t="shared" si="0"/>
        <v>p = .858</v>
      </c>
      <c r="J5" s="91">
        <f t="shared" si="1"/>
        <v>3.9034464459530738</v>
      </c>
    </row>
    <row r="6" spans="1:53" s="28" customFormat="1" ht="15.75" customHeight="1" thickBot="1" x14ac:dyDescent="0.3">
      <c r="A6" s="252" t="s">
        <v>29</v>
      </c>
      <c r="B6" s="248">
        <f>[16]h_t_mode_phon_b1!C2</f>
        <v>-0.44366137537456302</v>
      </c>
      <c r="C6" s="248">
        <f>[16]h_t_mode_phon_b1!D2</f>
        <v>-6.1912979394804699</v>
      </c>
      <c r="D6" s="248">
        <f>[16]h_t_mode_phon_b1!E2</f>
        <v>5.3039751887313402</v>
      </c>
      <c r="E6" s="248">
        <f>[16]h_t_mode_phon_b1!F2</f>
        <v>2.92671345012534</v>
      </c>
      <c r="F6" s="249">
        <f>[16]h_t_mode_phon_b1!G2</f>
        <v>-0.15159030186421599</v>
      </c>
      <c r="G6" s="248">
        <f>[16]h_t_mode_phon_b1!H2</f>
        <v>611.097588935104</v>
      </c>
      <c r="H6" s="250">
        <f>[16]h_t_mode_phon_b1!I2</f>
        <v>0.87956011264667799</v>
      </c>
      <c r="I6" s="251" t="str">
        <f t="shared" si="0"/>
        <v>p = .88</v>
      </c>
      <c r="J6" s="91">
        <f t="shared" si="1"/>
        <v>5.7476365641059068</v>
      </c>
    </row>
    <row r="7" spans="1:53" ht="15.75" customHeight="1" thickTop="1" thickBot="1" x14ac:dyDescent="0.3">
      <c r="A7" s="185" t="s">
        <v>95</v>
      </c>
      <c r="B7" s="185" t="str">
        <f t="shared" ref="B7:H7" si="2">B2</f>
        <v>est.</v>
      </c>
      <c r="C7" s="185" t="str">
        <f t="shared" si="2"/>
        <v>2.5% CI</v>
      </c>
      <c r="D7" s="185" t="str">
        <f t="shared" si="2"/>
        <v>07.5% CI</v>
      </c>
      <c r="E7" s="185" t="str">
        <f t="shared" si="2"/>
        <v>std.error</v>
      </c>
      <c r="F7" s="185" t="str">
        <f t="shared" si="2"/>
        <v>t</v>
      </c>
      <c r="G7" s="198" t="str">
        <f t="shared" si="2"/>
        <v>df</v>
      </c>
      <c r="H7" s="186" t="str">
        <f t="shared" si="2"/>
        <v>p. val.</v>
      </c>
      <c r="I7" s="186" t="str">
        <f>I2</f>
        <v>sig.</v>
      </c>
      <c r="J7" s="90" t="s">
        <v>46</v>
      </c>
      <c r="N7" s="29"/>
      <c r="Q7" s="23"/>
      <c r="W7" s="29"/>
      <c r="Z7" s="23"/>
      <c r="AF7" s="29"/>
      <c r="AI7" s="23"/>
      <c r="AO7" s="29"/>
      <c r="AR7" s="23"/>
      <c r="AX7" s="29"/>
      <c r="BA7" s="23"/>
    </row>
    <row r="8" spans="1:53" ht="15.75" customHeight="1" thickTop="1" x14ac:dyDescent="0.25">
      <c r="A8" s="244" t="s">
        <v>26</v>
      </c>
      <c r="B8" s="244">
        <f>[13]l_f0_mode_phon_b1!C3</f>
        <v>1.07031830643319</v>
      </c>
      <c r="C8" s="244">
        <f>[13]l_f0_mode_phon_b1!D3</f>
        <v>0.78146578622514395</v>
      </c>
      <c r="D8" s="244">
        <f>[13]l_f0_mode_phon_b1!E3</f>
        <v>1.3591708266412399</v>
      </c>
      <c r="E8" s="245">
        <f>[13]l_f0_mode_phon_b1!F3</f>
        <v>0.14708256129815001</v>
      </c>
      <c r="F8" s="245">
        <f>[13]l_f0_mode_phon_b1!G3</f>
        <v>7.2769898551301297</v>
      </c>
      <c r="G8" s="244">
        <f>[13]l_f0_mode_phon_b1!H3</f>
        <v>606.95547673376802</v>
      </c>
      <c r="H8" s="246">
        <f>[13]l_f0_mode_phon_b1!I3</f>
        <v>1.06032242087042E-12</v>
      </c>
      <c r="I8" s="247" t="str">
        <f t="shared" ref="I8:I11" si="3">IF(H8&lt;0.001, "p &lt; .001", _xlfn.CONCAT("p = ", REPLACE(ROUND(H8, 3),1,2,".")))</f>
        <v>p &lt; .001</v>
      </c>
      <c r="J8" s="91">
        <f>B8-C8</f>
        <v>0.28885252020804608</v>
      </c>
      <c r="N8" s="29"/>
      <c r="Q8" s="23"/>
      <c r="W8" s="29"/>
      <c r="Z8" s="23"/>
      <c r="AF8" s="29"/>
      <c r="AI8" s="23"/>
      <c r="AO8" s="29"/>
      <c r="AR8" s="23"/>
      <c r="AX8" s="29"/>
      <c r="BA8" s="23"/>
    </row>
    <row r="9" spans="1:53" ht="15.75" customHeight="1" x14ac:dyDescent="0.25">
      <c r="A9" s="248" t="s">
        <v>27</v>
      </c>
      <c r="B9" s="248">
        <f>[14]h_f0_mode_phon_b1!C3</f>
        <v>0.95020846342850596</v>
      </c>
      <c r="C9" s="248">
        <f>[14]h_f0_mode_phon_b1!D3</f>
        <v>0.54065914189225905</v>
      </c>
      <c r="D9" s="248">
        <f>[14]h_f0_mode_phon_b1!E3</f>
        <v>1.35975778496475</v>
      </c>
      <c r="E9" s="249">
        <f>[14]h_f0_mode_phon_b1!F3</f>
        <v>0.20854544102464201</v>
      </c>
      <c r="F9" s="249">
        <f>[14]h_f0_mode_phon_b1!G3</f>
        <v>4.5563617155084399</v>
      </c>
      <c r="G9" s="248">
        <f>[14]h_f0_mode_phon_b1!H3</f>
        <v>613.65018663644696</v>
      </c>
      <c r="H9" s="250">
        <f>[14]h_f0_mode_phon_b1!I3</f>
        <v>6.2816651929540999E-6</v>
      </c>
      <c r="I9" s="251" t="str">
        <f t="shared" si="3"/>
        <v>p &lt; .001</v>
      </c>
      <c r="J9" s="91">
        <f t="shared" ref="J9:J11" si="4">B9-C9</f>
        <v>0.4095493215362469</v>
      </c>
      <c r="N9" s="29"/>
      <c r="Q9" s="23"/>
      <c r="W9" s="29"/>
      <c r="Z9" s="23"/>
      <c r="AF9" s="29"/>
      <c r="AI9" s="23"/>
      <c r="AO9" s="29"/>
      <c r="AR9" s="23"/>
      <c r="AX9" s="29"/>
      <c r="BA9" s="23"/>
    </row>
    <row r="10" spans="1:53" ht="15.75" customHeight="1" x14ac:dyDescent="0.25">
      <c r="A10" s="252" t="s">
        <v>28</v>
      </c>
      <c r="B10" s="252">
        <f>[15]l_t_mode_phon_b1!C3</f>
        <v>8.7947238702248201E-2</v>
      </c>
      <c r="C10" s="252">
        <f>[15]l_t_mode_phon_b1!D3</f>
        <v>-4.0514862396431397</v>
      </c>
      <c r="D10" s="252">
        <f>[15]l_t_mode_phon_b1!E3</f>
        <v>4.2273807170476401</v>
      </c>
      <c r="E10" s="248">
        <f>[15]l_t_mode_phon_b1!F3</f>
        <v>2.1077977496123901</v>
      </c>
      <c r="F10" s="249">
        <f>[15]l_t_mode_phon_b1!G3</f>
        <v>4.1724704715346103E-2</v>
      </c>
      <c r="G10" s="248">
        <f>[15]l_t_mode_phon_b1!H3</f>
        <v>609.06524312568104</v>
      </c>
      <c r="H10" s="250">
        <f>[15]l_t_mode_phon_b1!I3</f>
        <v>0.96673183365251603</v>
      </c>
      <c r="I10" s="251" t="str">
        <f t="shared" si="3"/>
        <v>p = .967</v>
      </c>
      <c r="J10" s="91">
        <f t="shared" si="4"/>
        <v>4.1394334783453877</v>
      </c>
      <c r="N10" s="29"/>
      <c r="Q10" s="23"/>
      <c r="W10" s="29"/>
      <c r="Z10" s="23"/>
      <c r="AF10" s="29"/>
      <c r="AI10" s="23"/>
      <c r="AO10" s="29"/>
      <c r="AR10" s="23"/>
      <c r="AX10" s="29"/>
      <c r="BA10" s="23"/>
    </row>
    <row r="11" spans="1:53" ht="15.75" customHeight="1" thickBot="1" x14ac:dyDescent="0.3">
      <c r="A11" s="252" t="s">
        <v>29</v>
      </c>
      <c r="B11" s="252">
        <f>[16]h_t_mode_phon_b1!C3</f>
        <v>-1.05573108957506</v>
      </c>
      <c r="C11" s="252">
        <f>[16]h_t_mode_phon_b1!D3</f>
        <v>-7.1423432513311402</v>
      </c>
      <c r="D11" s="252">
        <f>[16]h_t_mode_phon_b1!E3</f>
        <v>5.0308810721810202</v>
      </c>
      <c r="E11" s="248">
        <f>[16]h_t_mode_phon_b1!F3</f>
        <v>3.0993242804741201</v>
      </c>
      <c r="F11" s="249">
        <f>[16]h_t_mode_phon_b1!G3</f>
        <v>-0.34063266507032303</v>
      </c>
      <c r="G11" s="248">
        <f>[16]h_t_mode_phon_b1!H3</f>
        <v>611.44142906332797</v>
      </c>
      <c r="H11" s="249">
        <f>[16]h_t_mode_phon_b1!I3</f>
        <v>0.733497137676968</v>
      </c>
      <c r="I11" s="251" t="str">
        <f t="shared" si="3"/>
        <v>p = .733</v>
      </c>
      <c r="J11" s="91">
        <f t="shared" si="4"/>
        <v>6.0866121617560802</v>
      </c>
      <c r="N11" s="29"/>
      <c r="Q11" s="23"/>
      <c r="W11" s="29"/>
      <c r="Z11" s="23"/>
      <c r="AF11" s="29"/>
      <c r="AI11" s="23"/>
      <c r="AO11" s="29"/>
      <c r="AR11" s="23"/>
      <c r="AX11" s="29"/>
      <c r="BA11" s="23"/>
    </row>
    <row r="12" spans="1:53" ht="15.75" customHeight="1" thickTop="1" thickBot="1" x14ac:dyDescent="0.3">
      <c r="A12" s="185" t="s">
        <v>96</v>
      </c>
      <c r="B12" s="185" t="str">
        <f t="shared" ref="B12:H12" si="5">B2</f>
        <v>est.</v>
      </c>
      <c r="C12" s="185" t="str">
        <f t="shared" si="5"/>
        <v>2.5% CI</v>
      </c>
      <c r="D12" s="185" t="str">
        <f t="shared" si="5"/>
        <v>07.5% CI</v>
      </c>
      <c r="E12" s="185" t="str">
        <f t="shared" si="5"/>
        <v>std.error</v>
      </c>
      <c r="F12" s="185" t="str">
        <f t="shared" si="5"/>
        <v>t</v>
      </c>
      <c r="G12" s="198" t="str">
        <f t="shared" si="5"/>
        <v>df</v>
      </c>
      <c r="H12" s="186" t="str">
        <f t="shared" si="5"/>
        <v>p. val.</v>
      </c>
      <c r="I12" s="186" t="str">
        <f>I2</f>
        <v>sig.</v>
      </c>
      <c r="J12" s="90" t="s">
        <v>46</v>
      </c>
      <c r="N12" s="29"/>
      <c r="Q12" s="23"/>
      <c r="W12" s="29"/>
      <c r="Z12" s="23"/>
      <c r="AF12" s="29"/>
      <c r="AI12" s="23"/>
      <c r="AO12" s="29"/>
      <c r="AR12" s="23"/>
      <c r="AX12" s="29"/>
      <c r="BA12" s="23"/>
    </row>
    <row r="13" spans="1:53" ht="15.75" customHeight="1" thickTop="1" x14ac:dyDescent="0.25">
      <c r="A13" s="244" t="s">
        <v>26</v>
      </c>
      <c r="B13" s="244">
        <f>[13]l_f0_mode_phon_b1!C4</f>
        <v>1.3681832636910001</v>
      </c>
      <c r="C13" s="244">
        <f>[13]l_f0_mode_phon_b1!D4</f>
        <v>1.00760128786453</v>
      </c>
      <c r="D13" s="244">
        <f>[13]l_f0_mode_phon_b1!E4</f>
        <v>1.72876523951747</v>
      </c>
      <c r="E13" s="244">
        <f>[13]l_f0_mode_phon_b1!F4</f>
        <v>0.18360908894302</v>
      </c>
      <c r="F13" s="245">
        <f>[13]l_f0_mode_phon_b1!G4</f>
        <v>7.4516096755732697</v>
      </c>
      <c r="G13" s="244">
        <f>[13]l_f0_mode_phon_b1!H4</f>
        <v>610.57121734933196</v>
      </c>
      <c r="H13" s="246">
        <f>[13]l_f0_mode_phon_b1!I4</f>
        <v>3.1670216374200401E-13</v>
      </c>
      <c r="I13" s="247" t="str">
        <f t="shared" ref="I13:I16" si="6">IF(H13&lt;0.001, "p &lt; .001", _xlfn.CONCAT("p = ", REPLACE(ROUND(H13, 3),1,2,".")))</f>
        <v>p &lt; .001</v>
      </c>
      <c r="J13" s="91">
        <f>B13-C13</f>
        <v>0.36058197582647011</v>
      </c>
      <c r="N13" s="29"/>
      <c r="Q13" s="23"/>
      <c r="W13" s="29"/>
      <c r="Z13" s="23"/>
      <c r="AF13" s="29"/>
      <c r="AI13" s="23"/>
      <c r="AO13" s="29"/>
      <c r="AR13" s="23"/>
      <c r="AX13" s="29"/>
      <c r="BA13" s="23"/>
    </row>
    <row r="14" spans="1:53" ht="15.75" customHeight="1" x14ac:dyDescent="0.25">
      <c r="A14" s="248" t="s">
        <v>27</v>
      </c>
      <c r="B14" s="248">
        <f>[14]h_f0_mode_phon_b1!C4</f>
        <v>2.68299305635112</v>
      </c>
      <c r="C14" s="248">
        <f>[14]h_f0_mode_phon_b1!D4</f>
        <v>2.1780425693968701</v>
      </c>
      <c r="D14" s="248">
        <f>[14]h_f0_mode_phon_b1!E4</f>
        <v>3.1879435433053702</v>
      </c>
      <c r="E14" s="248">
        <f>[14]h_f0_mode_phon_b1!F4</f>
        <v>0.257126754734744</v>
      </c>
      <c r="F14" s="249">
        <f>[14]h_f0_mode_phon_b1!G4</f>
        <v>10.434515300124801</v>
      </c>
      <c r="G14" s="248">
        <f>[14]h_f0_mode_phon_b1!H4</f>
        <v>616.511894927551</v>
      </c>
      <c r="H14" s="250">
        <f>[14]h_f0_mode_phon_b1!I4</f>
        <v>1.3879792219732801E-23</v>
      </c>
      <c r="I14" s="251" t="str">
        <f t="shared" si="6"/>
        <v>p &lt; .001</v>
      </c>
      <c r="J14" s="91">
        <f t="shared" ref="J14:J16" si="7">B14-C14</f>
        <v>0.50495048695424982</v>
      </c>
      <c r="N14" s="29"/>
      <c r="Q14" s="23"/>
      <c r="W14" s="29"/>
      <c r="Z14" s="23"/>
      <c r="AF14" s="29"/>
      <c r="AI14" s="23"/>
      <c r="AO14" s="29"/>
      <c r="AR14" s="23"/>
      <c r="AX14" s="29"/>
      <c r="BA14" s="23"/>
    </row>
    <row r="15" spans="1:53" ht="15.75" customHeight="1" x14ac:dyDescent="0.25">
      <c r="A15" s="252" t="s">
        <v>28</v>
      </c>
      <c r="B15" s="252">
        <f>[15]l_t_mode_phon_b1!C4</f>
        <v>-15.669509028153101</v>
      </c>
      <c r="C15" s="252">
        <f>[15]l_t_mode_phon_b1!D4</f>
        <v>-20.753437720268199</v>
      </c>
      <c r="D15" s="252">
        <f>[15]l_t_mode_phon_b1!E4</f>
        <v>-10.585580336037999</v>
      </c>
      <c r="E15" s="248">
        <f>[15]l_t_mode_phon_b1!F4</f>
        <v>2.5887277415559802</v>
      </c>
      <c r="F15" s="249">
        <f>[15]l_t_mode_phon_b1!G4</f>
        <v>-6.0529768258808101</v>
      </c>
      <c r="G15" s="248">
        <f>[15]l_t_mode_phon_b1!H4</f>
        <v>608.29043574273203</v>
      </c>
      <c r="H15" s="249">
        <f>[15]l_t_mode_phon_b1!I4</f>
        <v>2.48787353401893E-9</v>
      </c>
      <c r="I15" s="251" t="str">
        <f t="shared" si="6"/>
        <v>p &lt; .001</v>
      </c>
      <c r="J15" s="91">
        <f t="shared" si="7"/>
        <v>5.0839286921150979</v>
      </c>
      <c r="N15" s="29"/>
      <c r="Q15" s="23"/>
      <c r="W15" s="29"/>
      <c r="Z15" s="23"/>
      <c r="AF15" s="29"/>
      <c r="AI15" s="23"/>
      <c r="AO15" s="29"/>
      <c r="AR15" s="23"/>
      <c r="AX15" s="29"/>
      <c r="BA15" s="23"/>
    </row>
    <row r="16" spans="1:53" ht="15.75" customHeight="1" thickBot="1" x14ac:dyDescent="0.3">
      <c r="A16" s="252" t="s">
        <v>29</v>
      </c>
      <c r="B16" s="252">
        <f>[16]h_t_mode_phon_b1!C4</f>
        <v>-13.5875167445828</v>
      </c>
      <c r="C16" s="252">
        <f>[16]h_t_mode_phon_b1!D4</f>
        <v>-21.095006589364498</v>
      </c>
      <c r="D16" s="252">
        <f>[16]h_t_mode_phon_b1!E4</f>
        <v>-6.0800268998011902</v>
      </c>
      <c r="E16" s="248">
        <f>[16]h_t_mode_phon_b1!F4</f>
        <v>3.8228642100874999</v>
      </c>
      <c r="F16" s="249">
        <f>[16]h_t_mode_phon_b1!G4</f>
        <v>-3.5542765837010499</v>
      </c>
      <c r="G16" s="248">
        <f>[16]h_t_mode_phon_b1!H4</f>
        <v>613.38510499824099</v>
      </c>
      <c r="H16" s="253">
        <f>[16]h_t_mode_phon_b1!I4</f>
        <v>4.0817804449932299E-4</v>
      </c>
      <c r="I16" s="251" t="str">
        <f t="shared" si="6"/>
        <v>p &lt; .001</v>
      </c>
      <c r="J16" s="91">
        <f t="shared" si="7"/>
        <v>7.5074898447816985</v>
      </c>
      <c r="N16" s="29"/>
      <c r="Q16" s="23"/>
      <c r="W16" s="29"/>
      <c r="Z16" s="23"/>
      <c r="AF16" s="29"/>
      <c r="AI16" s="23"/>
      <c r="AO16" s="29"/>
      <c r="AR16" s="23"/>
      <c r="AX16" s="29"/>
      <c r="BA16" s="23"/>
    </row>
    <row r="17" spans="1:53" ht="15.75" customHeight="1" thickTop="1" thickBot="1" x14ac:dyDescent="0.3">
      <c r="A17" s="185" t="s">
        <v>97</v>
      </c>
      <c r="B17" s="185" t="str">
        <f t="shared" ref="B17:H17" si="8">B2</f>
        <v>est.</v>
      </c>
      <c r="C17" s="185" t="str">
        <f t="shared" si="8"/>
        <v>2.5% CI</v>
      </c>
      <c r="D17" s="185" t="str">
        <f t="shared" si="8"/>
        <v>07.5% CI</v>
      </c>
      <c r="E17" s="185" t="str">
        <f t="shared" si="8"/>
        <v>std.error</v>
      </c>
      <c r="F17" s="185" t="str">
        <f t="shared" si="8"/>
        <v>t</v>
      </c>
      <c r="G17" s="198" t="str">
        <f t="shared" si="8"/>
        <v>df</v>
      </c>
      <c r="H17" s="186" t="str">
        <f t="shared" si="8"/>
        <v>p. val.</v>
      </c>
      <c r="I17" s="186" t="str">
        <f>I2</f>
        <v>sig.</v>
      </c>
      <c r="J17" s="90" t="s">
        <v>46</v>
      </c>
      <c r="N17" s="29"/>
      <c r="Q17" s="23"/>
      <c r="W17" s="29"/>
      <c r="Z17" s="23"/>
      <c r="AF17" s="29"/>
      <c r="AI17" s="23"/>
      <c r="AO17" s="29"/>
      <c r="AR17" s="23"/>
      <c r="AX17" s="29"/>
      <c r="BA17" s="23"/>
    </row>
    <row r="18" spans="1:53" ht="15.75" customHeight="1" thickTop="1" x14ac:dyDescent="0.25">
      <c r="A18" s="244" t="s">
        <v>26</v>
      </c>
      <c r="B18" s="244">
        <f>[13]l_f0_mode_phon_b1!C5</f>
        <v>0.96078510989955401</v>
      </c>
      <c r="C18" s="244">
        <f>[13]l_f0_mode_phon_b1!D5</f>
        <v>0.671189186755765</v>
      </c>
      <c r="D18" s="244">
        <f>[13]l_f0_mode_phon_b1!E5</f>
        <v>1.25038103304334</v>
      </c>
      <c r="E18" s="244">
        <f>[13]l_f0_mode_phon_b1!F5</f>
        <v>0.14746125529333801</v>
      </c>
      <c r="F18" s="245">
        <f>[13]l_f0_mode_phon_b1!G5</f>
        <v>6.5155088228992897</v>
      </c>
      <c r="G18" s="244">
        <f>[13]l_f0_mode_phon_b1!H5</f>
        <v>607.27734788164798</v>
      </c>
      <c r="H18" s="244">
        <f>[13]l_f0_mode_phon_b1!I5</f>
        <v>1.52214595592987E-10</v>
      </c>
      <c r="I18" s="247" t="str">
        <f t="shared" ref="I18:I21" si="9">IF(H18&lt;0.001, "p &lt; .001", _xlfn.CONCAT("p = ", REPLACE(ROUND(H18, 3),1,2,".")))</f>
        <v>p &lt; .001</v>
      </c>
      <c r="J18" s="91">
        <f>B18-C18</f>
        <v>0.28959592314378901</v>
      </c>
      <c r="N18" s="29"/>
      <c r="Q18" s="23"/>
      <c r="W18" s="29"/>
      <c r="Z18" s="23"/>
      <c r="AF18" s="29"/>
      <c r="AI18" s="23"/>
      <c r="AO18" s="29"/>
      <c r="AR18" s="23"/>
      <c r="AX18" s="29"/>
      <c r="BA18" s="23"/>
    </row>
    <row r="19" spans="1:53" ht="15.75" customHeight="1" x14ac:dyDescent="0.25">
      <c r="A19" s="248" t="s">
        <v>27</v>
      </c>
      <c r="B19" s="248">
        <f>[14]h_f0_mode_phon_b1!C5</f>
        <v>0.53157575643416399</v>
      </c>
      <c r="C19" s="248">
        <f>[14]h_f0_mode_phon_b1!D5</f>
        <v>0.121632240403988</v>
      </c>
      <c r="D19" s="248">
        <f>[14]h_f0_mode_phon_b1!E5</f>
        <v>0.94151927246434097</v>
      </c>
      <c r="E19" s="248">
        <f>[14]h_f0_mode_phon_b1!F5</f>
        <v>0.20874631685428799</v>
      </c>
      <c r="F19" s="249">
        <f>[14]h_f0_mode_phon_b1!G5</f>
        <v>2.5465156197473</v>
      </c>
      <c r="G19" s="248">
        <f>[14]h_f0_mode_phon_b1!H5</f>
        <v>613.87217873383202</v>
      </c>
      <c r="H19" s="250">
        <f>[14]h_f0_mode_phon_b1!I5</f>
        <v>1.1123483337658099E-2</v>
      </c>
      <c r="I19" s="251" t="str">
        <f t="shared" si="9"/>
        <v>p = .011</v>
      </c>
      <c r="J19" s="91">
        <f t="shared" ref="J19:J21" si="10">B19-C19</f>
        <v>0.40994351603017598</v>
      </c>
      <c r="N19" s="29"/>
      <c r="Q19" s="23"/>
      <c r="W19" s="29"/>
      <c r="Z19" s="23"/>
      <c r="AF19" s="29"/>
      <c r="AI19" s="23"/>
      <c r="AO19" s="29"/>
      <c r="AR19" s="23"/>
      <c r="AX19" s="29"/>
      <c r="BA19" s="23"/>
    </row>
    <row r="20" spans="1:53" ht="15.75" customHeight="1" x14ac:dyDescent="0.25">
      <c r="A20" s="252" t="s">
        <v>28</v>
      </c>
      <c r="B20" s="252">
        <f>[15]l_t_mode_phon_b1!C5</f>
        <v>-0.26799003062647903</v>
      </c>
      <c r="C20" s="252">
        <f>[15]l_t_mode_phon_b1!D5</f>
        <v>-4.4072301795740501</v>
      </c>
      <c r="D20" s="252">
        <f>[15]l_t_mode_phon_b1!E5</f>
        <v>3.8712501183210901</v>
      </c>
      <c r="E20" s="248">
        <f>[15]l_t_mode_phon_b1!F5</f>
        <v>2.10770076398396</v>
      </c>
      <c r="F20" s="249">
        <f>[15]l_t_mode_phon_b1!G5</f>
        <v>-0.12714804454496001</v>
      </c>
      <c r="G20" s="248">
        <f>[15]l_t_mode_phon_b1!H5</f>
        <v>609.27686665357305</v>
      </c>
      <c r="H20" s="250">
        <f>[15]l_t_mode_phon_b1!I5</f>
        <v>0.89886517665834897</v>
      </c>
      <c r="I20" s="251" t="str">
        <f t="shared" si="9"/>
        <v>p = .899</v>
      </c>
      <c r="J20" s="91">
        <f t="shared" si="10"/>
        <v>4.1392401489475708</v>
      </c>
      <c r="N20" s="29"/>
      <c r="Q20" s="23"/>
      <c r="W20" s="29"/>
      <c r="Z20" s="23"/>
      <c r="AF20" s="29"/>
      <c r="AI20" s="23"/>
      <c r="AO20" s="29"/>
      <c r="AR20" s="23"/>
      <c r="AX20" s="29"/>
      <c r="BA20" s="23"/>
    </row>
    <row r="21" spans="1:53" ht="15.75" customHeight="1" thickBot="1" x14ac:dyDescent="0.3">
      <c r="A21" s="252" t="s">
        <v>29</v>
      </c>
      <c r="B21" s="252">
        <f>[16]h_t_mode_phon_b1!C5</f>
        <v>-0.61206971435859803</v>
      </c>
      <c r="C21" s="252">
        <f>[16]h_t_mode_phon_b1!D5</f>
        <v>-6.7042442169074103</v>
      </c>
      <c r="D21" s="252">
        <f>[16]h_t_mode_phon_b1!E5</f>
        <v>5.4801047881902196</v>
      </c>
      <c r="E21" s="248">
        <f>[16]h_t_mode_phon_b1!F5</f>
        <v>3.1021578866535502</v>
      </c>
      <c r="F21" s="249">
        <f>[16]h_t_mode_phon_b1!G5</f>
        <v>-0.197304501164144</v>
      </c>
      <c r="G21" s="248">
        <f>[16]h_t_mode_phon_b1!H5</f>
        <v>611.56495576810403</v>
      </c>
      <c r="H21" s="250">
        <f>[16]h_t_mode_phon_b1!I5</f>
        <v>0.84365481363403005</v>
      </c>
      <c r="I21" s="251" t="str">
        <f t="shared" si="9"/>
        <v>p = .844</v>
      </c>
      <c r="J21" s="91">
        <f t="shared" si="10"/>
        <v>6.0921745025488123</v>
      </c>
      <c r="N21" s="29"/>
      <c r="Q21" s="23"/>
      <c r="W21" s="29"/>
      <c r="Z21" s="23"/>
      <c r="AF21" s="29"/>
      <c r="AI21" s="23"/>
      <c r="AO21" s="29"/>
      <c r="AR21" s="23"/>
      <c r="AX21" s="29"/>
      <c r="BA21" s="23"/>
    </row>
    <row r="22" spans="1:53" ht="15.75" customHeight="1" thickTop="1" thickBot="1" x14ac:dyDescent="0.3">
      <c r="A22" s="185" t="s">
        <v>98</v>
      </c>
      <c r="B22" s="185" t="str">
        <f t="shared" ref="B22:H22" si="11">B2</f>
        <v>est.</v>
      </c>
      <c r="C22" s="185" t="str">
        <f t="shared" si="11"/>
        <v>2.5% CI</v>
      </c>
      <c r="D22" s="185" t="str">
        <f t="shared" si="11"/>
        <v>07.5% CI</v>
      </c>
      <c r="E22" s="185" t="str">
        <f t="shared" si="11"/>
        <v>std.error</v>
      </c>
      <c r="F22" s="185" t="str">
        <f t="shared" si="11"/>
        <v>t</v>
      </c>
      <c r="G22" s="198" t="str">
        <f t="shared" si="11"/>
        <v>df</v>
      </c>
      <c r="H22" s="186" t="str">
        <f t="shared" si="11"/>
        <v>p. val.</v>
      </c>
      <c r="I22" s="186" t="str">
        <f>I2</f>
        <v>sig.</v>
      </c>
      <c r="J22" s="90" t="s">
        <v>46</v>
      </c>
      <c r="N22" s="29"/>
      <c r="Q22" s="23"/>
      <c r="W22" s="29"/>
      <c r="Z22" s="23"/>
      <c r="AF22" s="29"/>
      <c r="AI22" s="23"/>
      <c r="AO22" s="29"/>
      <c r="AR22" s="23"/>
      <c r="AX22" s="29"/>
      <c r="BA22" s="23"/>
    </row>
    <row r="23" spans="1:53" ht="15.75" customHeight="1" thickTop="1" x14ac:dyDescent="0.25">
      <c r="A23" s="244" t="s">
        <v>26</v>
      </c>
      <c r="B23" s="244">
        <f>[13]l_f0_mode_phon_b1!C6</f>
        <v>1.2586500674385701</v>
      </c>
      <c r="C23" s="244">
        <f>[13]l_f0_mode_phon_b1!D6</f>
        <v>0.89624865017186806</v>
      </c>
      <c r="D23" s="244">
        <f>[13]l_f0_mode_phon_b1!E6</f>
        <v>1.6210514847052899</v>
      </c>
      <c r="E23" s="244">
        <f>[13]l_f0_mode_phon_b1!F6</f>
        <v>0.184535803102202</v>
      </c>
      <c r="F23" s="245">
        <f>[13]l_f0_mode_phon_b1!G6</f>
        <v>6.8206280097390897</v>
      </c>
      <c r="G23" s="244">
        <f>[13]l_f0_mode_phon_b1!H6</f>
        <v>610.98932296258795</v>
      </c>
      <c r="H23" s="244">
        <f>[13]l_f0_mode_phon_b1!I6</f>
        <v>2.1838848433885499E-11</v>
      </c>
      <c r="I23" s="247" t="str">
        <f t="shared" ref="I23:I26" si="12">IF(H23&lt;0.001, "p &lt; .001", _xlfn.CONCAT("p = ", REPLACE(ROUND(H23, 3),1,2,".")))</f>
        <v>p &lt; .001</v>
      </c>
      <c r="J23" s="91">
        <f>B23-C23</f>
        <v>0.36240141726670205</v>
      </c>
      <c r="N23" s="29"/>
      <c r="Q23" s="23"/>
      <c r="W23" s="29"/>
      <c r="Z23" s="23"/>
      <c r="AF23" s="29"/>
      <c r="AI23" s="23"/>
      <c r="AO23" s="29"/>
      <c r="AR23" s="23"/>
      <c r="AX23" s="29"/>
      <c r="BA23" s="23"/>
    </row>
    <row r="24" spans="1:53" ht="15.75" customHeight="1" x14ac:dyDescent="0.25">
      <c r="A24" s="248" t="s">
        <v>27</v>
      </c>
      <c r="B24" s="248">
        <f>[14]h_f0_mode_phon_b1!C6</f>
        <v>2.2643603496509299</v>
      </c>
      <c r="C24" s="248">
        <f>[14]h_f0_mode_phon_b1!D6</f>
        <v>1.75740824280943</v>
      </c>
      <c r="D24" s="248">
        <f>[14]h_f0_mode_phon_b1!E6</f>
        <v>2.7713124564924301</v>
      </c>
      <c r="E24" s="248">
        <f>[14]h_f0_mode_phon_b1!F6</f>
        <v>0.25814626071117402</v>
      </c>
      <c r="F24" s="249">
        <f>[14]h_f0_mode_phon_b1!G6</f>
        <v>8.7716178549818196</v>
      </c>
      <c r="G24" s="248">
        <f>[14]h_f0_mode_phon_b1!H6</f>
        <v>616.824673989296</v>
      </c>
      <c r="H24" s="248">
        <f>[14]h_f0_mode_phon_b1!I6</f>
        <v>1.7136446274365601E-17</v>
      </c>
      <c r="I24" s="251" t="str">
        <f t="shared" si="12"/>
        <v>p &lt; .001</v>
      </c>
      <c r="J24" s="91">
        <f t="shared" ref="J24:J26" si="13">B24-C24</f>
        <v>0.50695210684149994</v>
      </c>
      <c r="N24" s="29"/>
      <c r="Q24" s="23"/>
      <c r="W24" s="29"/>
      <c r="Z24" s="23"/>
      <c r="AF24" s="29"/>
      <c r="AI24" s="23"/>
      <c r="AO24" s="29"/>
      <c r="AR24" s="23"/>
      <c r="AX24" s="29"/>
      <c r="BA24" s="23"/>
    </row>
    <row r="25" spans="1:53" ht="15.75" customHeight="1" x14ac:dyDescent="0.25">
      <c r="A25" s="252" t="s">
        <v>28</v>
      </c>
      <c r="B25" s="252">
        <f>[15]l_t_mode_phon_b1!C6</f>
        <v>-16.025441698620298</v>
      </c>
      <c r="C25" s="252">
        <f>[15]l_t_mode_phon_b1!D6</f>
        <v>-21.126232638264199</v>
      </c>
      <c r="D25" s="252">
        <f>[15]l_t_mode_phon_b1!E6</f>
        <v>-10.924650758976499</v>
      </c>
      <c r="E25" s="248">
        <f>[15]l_t_mode_phon_b1!F6</f>
        <v>2.5973123291568001</v>
      </c>
      <c r="F25" s="249">
        <f>[15]l_t_mode_phon_b1!G6</f>
        <v>-6.1700094820028397</v>
      </c>
      <c r="G25" s="248">
        <f>[15]l_t_mode_phon_b1!H6</f>
        <v>608.09785776639501</v>
      </c>
      <c r="H25" s="250">
        <f>[15]l_t_mode_phon_b1!I6</f>
        <v>1.2468405935870099E-9</v>
      </c>
      <c r="I25" s="251" t="str">
        <f t="shared" si="12"/>
        <v>p &lt; .001</v>
      </c>
      <c r="J25" s="91">
        <f t="shared" si="13"/>
        <v>5.1007909396439004</v>
      </c>
      <c r="N25" s="29"/>
      <c r="Q25" s="23"/>
      <c r="W25" s="29"/>
      <c r="Z25" s="23"/>
      <c r="AF25" s="29"/>
      <c r="AI25" s="23"/>
      <c r="AO25" s="29"/>
      <c r="AR25" s="23"/>
      <c r="AX25" s="29"/>
      <c r="BA25" s="23"/>
    </row>
    <row r="26" spans="1:53" ht="15.75" customHeight="1" thickBot="1" x14ac:dyDescent="0.3">
      <c r="A26" s="252" t="s">
        <v>29</v>
      </c>
      <c r="B26" s="252">
        <f>[16]h_t_mode_phon_b1!C6</f>
        <v>-13.143855369667399</v>
      </c>
      <c r="C26" s="252">
        <f>[16]h_t_mode_phon_b1!D6</f>
        <v>-20.680952987566801</v>
      </c>
      <c r="D26" s="252">
        <f>[16]h_t_mode_phon_b1!E6</f>
        <v>-5.6067577517679297</v>
      </c>
      <c r="E26" s="248">
        <f>[16]h_t_mode_phon_b1!F6</f>
        <v>3.8379429583010798</v>
      </c>
      <c r="F26" s="249">
        <f>[16]h_t_mode_phon_b1!G6</f>
        <v>-3.4247135802887798</v>
      </c>
      <c r="G26" s="248">
        <f>[16]h_t_mode_phon_b1!H6</f>
        <v>613.56878327634695</v>
      </c>
      <c r="H26" s="253">
        <f>[16]h_t_mode_phon_b1!I6</f>
        <v>6.5650260262401601E-4</v>
      </c>
      <c r="I26" s="251" t="str">
        <f t="shared" si="12"/>
        <v>p &lt; .001</v>
      </c>
      <c r="J26" s="91">
        <f t="shared" si="13"/>
        <v>7.537097617899402</v>
      </c>
      <c r="N26" s="29"/>
      <c r="Q26" s="23"/>
      <c r="W26" s="29"/>
      <c r="Z26" s="23"/>
      <c r="AF26" s="29"/>
      <c r="AI26" s="23"/>
      <c r="AO26" s="29"/>
      <c r="AR26" s="23"/>
      <c r="AX26" s="29"/>
      <c r="BA26" s="23"/>
    </row>
    <row r="27" spans="1:53" ht="15.75" customHeight="1" thickTop="1" thickBot="1" x14ac:dyDescent="0.3">
      <c r="A27" s="185" t="s">
        <v>100</v>
      </c>
      <c r="B27" s="185" t="str">
        <f t="shared" ref="B27:H27" si="14">B2</f>
        <v>est.</v>
      </c>
      <c r="C27" s="185" t="str">
        <f t="shared" si="14"/>
        <v>2.5% CI</v>
      </c>
      <c r="D27" s="185" t="str">
        <f t="shared" si="14"/>
        <v>07.5% CI</v>
      </c>
      <c r="E27" s="185" t="str">
        <f t="shared" si="14"/>
        <v>std.error</v>
      </c>
      <c r="F27" s="185" t="str">
        <f t="shared" si="14"/>
        <v>t</v>
      </c>
      <c r="G27" s="198" t="str">
        <f t="shared" si="14"/>
        <v>df</v>
      </c>
      <c r="H27" s="186" t="str">
        <f t="shared" si="14"/>
        <v>p. val.</v>
      </c>
      <c r="I27" s="199" t="str">
        <f>I7</f>
        <v>sig.</v>
      </c>
      <c r="J27" s="90" t="s">
        <v>46</v>
      </c>
      <c r="K27" s="29"/>
      <c r="L27" s="29"/>
      <c r="M27" s="29"/>
      <c r="O27" s="23"/>
      <c r="P27" s="23"/>
      <c r="Q27" s="23"/>
      <c r="T27" s="29"/>
      <c r="U27" s="29"/>
      <c r="V27" s="29"/>
      <c r="X27" s="23"/>
      <c r="Y27" s="23"/>
      <c r="Z27" s="23"/>
      <c r="AC27" s="29"/>
      <c r="AD27" s="29"/>
      <c r="AE27" s="29"/>
      <c r="AG27" s="23"/>
      <c r="AH27" s="23"/>
      <c r="AI27" s="23"/>
      <c r="AL27" s="29"/>
      <c r="AM27" s="29"/>
      <c r="AN27" s="29"/>
      <c r="AP27" s="23"/>
      <c r="AQ27" s="23"/>
      <c r="AR27" s="23"/>
      <c r="AU27" s="29"/>
      <c r="AV27" s="29"/>
      <c r="AW27" s="29"/>
      <c r="AY27" s="23"/>
      <c r="AZ27" s="23"/>
      <c r="BA27" s="23"/>
    </row>
    <row r="28" spans="1:53" ht="15.75" customHeight="1" thickTop="1" x14ac:dyDescent="0.25">
      <c r="A28" s="244" t="s">
        <v>26</v>
      </c>
      <c r="B28" s="244">
        <f>[13]l_f0_mode_phon_b1!C7</f>
        <v>0.29786495745087699</v>
      </c>
      <c r="C28" s="244">
        <f>[13]l_f0_mode_phon_b1!D7</f>
        <v>-1.468487412696E-2</v>
      </c>
      <c r="D28" s="244">
        <f>[13]l_f0_mode_phon_b1!E7</f>
        <v>0.61041478902871504</v>
      </c>
      <c r="E28" s="245">
        <f>[13]l_f0_mode_phon_b1!F7</f>
        <v>0.15915029484954901</v>
      </c>
      <c r="F28" s="245">
        <f>[13]l_f0_mode_phon_b1!G7</f>
        <v>1.8715953855596601</v>
      </c>
      <c r="G28" s="244">
        <f>[13]l_f0_mode_phon_b1!H7</f>
        <v>609.17064053521301</v>
      </c>
      <c r="H28" s="246">
        <f>[13]l_f0_mode_phon_b1!I7</f>
        <v>6.1741619781302402E-2</v>
      </c>
      <c r="I28" s="247" t="str">
        <f t="shared" ref="I28:I31" si="15">IF(H28&lt;0.001, "p &lt; .001", _xlfn.CONCAT("p = ", REPLACE(ROUND(H28, 3),1,2,".")))</f>
        <v>p = .062</v>
      </c>
      <c r="J28" s="91">
        <f>B28-C28</f>
        <v>0.312549831577837</v>
      </c>
      <c r="K28" s="29"/>
      <c r="L28" s="29"/>
      <c r="M28" s="29"/>
      <c r="O28" s="23"/>
      <c r="P28" s="23"/>
      <c r="Q28" s="23"/>
      <c r="T28" s="29"/>
      <c r="U28" s="29"/>
      <c r="V28" s="29"/>
      <c r="X28" s="23"/>
      <c r="Y28" s="23"/>
      <c r="Z28" s="23"/>
      <c r="AC28" s="29"/>
      <c r="AD28" s="29"/>
      <c r="AE28" s="29"/>
      <c r="AG28" s="23"/>
      <c r="AH28" s="23"/>
      <c r="AI28" s="23"/>
      <c r="AL28" s="29"/>
      <c r="AM28" s="29"/>
      <c r="AN28" s="29"/>
      <c r="AP28" s="23"/>
      <c r="AQ28" s="23"/>
      <c r="AR28" s="23"/>
      <c r="AU28" s="29"/>
      <c r="AV28" s="29"/>
      <c r="AW28" s="29"/>
      <c r="AY28" s="23"/>
      <c r="AZ28" s="23"/>
      <c r="BA28" s="23"/>
    </row>
    <row r="29" spans="1:53" ht="15.75" customHeight="1" x14ac:dyDescent="0.25">
      <c r="A29" s="248" t="s">
        <v>27</v>
      </c>
      <c r="B29" s="248">
        <f>[14]h_f0_mode_phon_b1!C7</f>
        <v>1.7327845929102901</v>
      </c>
      <c r="C29" s="248">
        <f>[14]h_f0_mode_phon_b1!D7</f>
        <v>1.2941455382264699</v>
      </c>
      <c r="D29" s="248">
        <f>[14]h_f0_mode_phon_b1!E7</f>
        <v>2.1714236475941102</v>
      </c>
      <c r="E29" s="249">
        <f>[14]h_f0_mode_phon_b1!F7</f>
        <v>0.223359454531249</v>
      </c>
      <c r="F29" s="249">
        <f>[14]h_f0_mode_phon_b1!G7</f>
        <v>7.7578296228685604</v>
      </c>
      <c r="G29" s="248">
        <f>[14]h_f0_mode_phon_b1!H7</f>
        <v>615.48177733649197</v>
      </c>
      <c r="H29" s="253">
        <f>[14]h_f0_mode_phon_b1!I7</f>
        <v>3.6035240134364099E-14</v>
      </c>
      <c r="I29" s="251" t="str">
        <f t="shared" si="15"/>
        <v>p &lt; .001</v>
      </c>
      <c r="J29" s="91">
        <f t="shared" ref="J29:J31" si="16">B29-C29</f>
        <v>0.43863905468382014</v>
      </c>
      <c r="K29" s="29"/>
      <c r="L29" s="29"/>
      <c r="M29" s="29"/>
      <c r="O29" s="23"/>
      <c r="P29" s="23"/>
      <c r="Q29" s="23"/>
      <c r="T29" s="29"/>
      <c r="U29" s="29"/>
      <c r="V29" s="29"/>
      <c r="X29" s="23"/>
      <c r="Y29" s="23"/>
      <c r="Z29" s="23"/>
      <c r="AC29" s="29"/>
      <c r="AD29" s="29"/>
      <c r="AE29" s="29"/>
      <c r="AG29" s="23"/>
      <c r="AH29" s="23"/>
      <c r="AI29" s="23"/>
      <c r="AL29" s="29"/>
      <c r="AM29" s="29"/>
      <c r="AN29" s="29"/>
      <c r="AP29" s="23"/>
      <c r="AQ29" s="23"/>
      <c r="AR29" s="23"/>
      <c r="AU29" s="29"/>
      <c r="AV29" s="29"/>
      <c r="AW29" s="29"/>
      <c r="AY29" s="23"/>
      <c r="AZ29" s="23"/>
      <c r="BA29" s="23"/>
    </row>
    <row r="30" spans="1:53" ht="15.75" customHeight="1" x14ac:dyDescent="0.25">
      <c r="A30" s="252" t="s">
        <v>28</v>
      </c>
      <c r="B30" s="252">
        <f>[15]l_t_mode_phon_b1!C7</f>
        <v>-15.7574821665845</v>
      </c>
      <c r="C30" s="252">
        <f>[15]l_t_mode_phon_b1!D7</f>
        <v>-20.183413684612201</v>
      </c>
      <c r="D30" s="252">
        <f>[15]l_t_mode_phon_b1!E7</f>
        <v>-11.3315506485567</v>
      </c>
      <c r="E30" s="248">
        <f>[15]l_t_mode_phon_b1!F7</f>
        <v>2.2536839201958898</v>
      </c>
      <c r="F30" s="249">
        <f>[15]l_t_mode_phon_b1!G7</f>
        <v>-6.9918776210706897</v>
      </c>
      <c r="G30" s="248">
        <f>[15]l_t_mode_phon_b1!H7</f>
        <v>609.26779765419997</v>
      </c>
      <c r="H30" s="249">
        <f>[15]l_t_mode_phon_b1!I7</f>
        <v>7.1505221670151199E-12</v>
      </c>
      <c r="I30" s="251" t="str">
        <f t="shared" si="15"/>
        <v>p &lt; .001</v>
      </c>
      <c r="J30" s="91">
        <f t="shared" si="16"/>
        <v>4.425931518027701</v>
      </c>
      <c r="K30" s="29"/>
      <c r="L30" s="29"/>
      <c r="M30" s="29"/>
      <c r="O30" s="23"/>
      <c r="P30" s="23"/>
      <c r="Q30" s="23"/>
      <c r="T30" s="29"/>
      <c r="U30" s="29"/>
      <c r="V30" s="29"/>
      <c r="X30" s="23"/>
      <c r="Y30" s="23"/>
      <c r="Z30" s="23"/>
      <c r="AC30" s="29"/>
      <c r="AD30" s="29"/>
      <c r="AE30" s="29"/>
      <c r="AG30" s="23"/>
      <c r="AH30" s="23"/>
      <c r="AI30" s="23"/>
      <c r="AL30" s="29"/>
      <c r="AM30" s="29"/>
      <c r="AN30" s="29"/>
      <c r="AP30" s="23"/>
      <c r="AQ30" s="23"/>
      <c r="AR30" s="23"/>
      <c r="AU30" s="29"/>
      <c r="AV30" s="29"/>
      <c r="AW30" s="29"/>
      <c r="AY30" s="23"/>
      <c r="AZ30" s="23"/>
      <c r="BA30" s="23"/>
    </row>
    <row r="31" spans="1:53" ht="15.75" customHeight="1" x14ac:dyDescent="0.25">
      <c r="A31" s="252" t="s">
        <v>29</v>
      </c>
      <c r="B31" s="252">
        <f>[16]h_t_mode_phon_b1!C7</f>
        <v>-12.5317856553689</v>
      </c>
      <c r="C31" s="252">
        <f>[16]h_t_mode_phon_b1!D7</f>
        <v>-19.0500071488229</v>
      </c>
      <c r="D31" s="252">
        <f>[16]h_t_mode_phon_b1!E7</f>
        <v>-6.0135641619150197</v>
      </c>
      <c r="E31" s="248">
        <f>[16]h_t_mode_phon_b1!F7</f>
        <v>3.3191156061404201</v>
      </c>
      <c r="F31" s="249">
        <f>[16]h_t_mode_phon_b1!G7</f>
        <v>-3.7756400024708201</v>
      </c>
      <c r="G31" s="248">
        <f>[16]h_t_mode_phon_b1!H7</f>
        <v>612.77618320031297</v>
      </c>
      <c r="H31" s="253">
        <f>[16]h_t_mode_phon_b1!I7</f>
        <v>1.75132024489646E-4</v>
      </c>
      <c r="I31" s="251" t="str">
        <f t="shared" si="15"/>
        <v>p &lt; .001</v>
      </c>
      <c r="J31" s="91">
        <f t="shared" si="16"/>
        <v>6.5182214934539999</v>
      </c>
      <c r="K31" s="29"/>
      <c r="L31" s="29"/>
      <c r="M31" s="29"/>
      <c r="O31" s="23"/>
      <c r="P31" s="23"/>
      <c r="Q31" s="23"/>
      <c r="T31" s="29"/>
      <c r="U31" s="29"/>
      <c r="V31" s="29"/>
      <c r="X31" s="23"/>
      <c r="Y31" s="23"/>
      <c r="Z31" s="23"/>
      <c r="AC31" s="29"/>
      <c r="AD31" s="29"/>
      <c r="AE31" s="29"/>
      <c r="AG31" s="23"/>
      <c r="AH31" s="23"/>
      <c r="AI31" s="23"/>
      <c r="AL31" s="29"/>
      <c r="AM31" s="29"/>
      <c r="AN31" s="29"/>
      <c r="AP31" s="23"/>
      <c r="AQ31" s="23"/>
      <c r="AR31" s="23"/>
      <c r="AU31" s="29"/>
      <c r="AV31" s="29"/>
      <c r="AW31" s="29"/>
      <c r="AY31" s="23"/>
      <c r="AZ31" s="23"/>
      <c r="BA31" s="23"/>
    </row>
    <row r="32" spans="1:53" x14ac:dyDescent="0.25">
      <c r="A32" s="254"/>
      <c r="B32" s="207"/>
      <c r="C32" s="207"/>
      <c r="D32" s="207"/>
      <c r="E32" s="207"/>
      <c r="F32" s="207"/>
      <c r="G32" s="255"/>
      <c r="H32" s="256"/>
      <c r="I32" s="256"/>
    </row>
  </sheetData>
  <mergeCells count="1">
    <mergeCell ref="A1:J1"/>
  </mergeCells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0" zoomScaleNormal="80" workbookViewId="0"/>
  </sheetViews>
  <sheetFormatPr defaultRowHeight="14.4" x14ac:dyDescent="0.3"/>
  <cols>
    <col min="5" max="5" width="8.88671875" customWidth="1"/>
    <col min="6" max="6" width="19.88671875" bestFit="1" customWidth="1"/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1" spans="6:7" x14ac:dyDescent="0.3">
      <c r="F31" s="99"/>
      <c r="G31" s="99"/>
    </row>
    <row r="33" spans="6:6" x14ac:dyDescent="0.3">
      <c r="F33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I21"/>
  <sheetViews>
    <sheetView showGridLines="0" zoomScale="111" zoomScaleNormal="111" zoomScaleSheetLayoutView="47" workbookViewId="0">
      <selection activeCell="J7" sqref="J7"/>
    </sheetView>
  </sheetViews>
  <sheetFormatPr defaultColWidth="13.88671875" defaultRowHeight="13.2" x14ac:dyDescent="0.25"/>
  <cols>
    <col min="1" max="1" width="17.109375" style="20" customWidth="1"/>
    <col min="2" max="6" width="11.88671875" style="21" customWidth="1"/>
    <col min="7" max="8" width="11.88671875" style="216" customWidth="1"/>
    <col min="9" max="9" width="11.88671875" style="217" customWidth="1"/>
    <col min="10" max="10" width="11.88671875" style="21" customWidth="1"/>
    <col min="11" max="12" width="8.6640625" style="21" customWidth="1"/>
    <col min="13" max="13" width="11.44140625" style="21" customWidth="1"/>
    <col min="14" max="14" width="11.109375" style="22" customWidth="1"/>
    <col min="15" max="15" width="11.44140625" style="22" customWidth="1"/>
    <col min="16" max="17" width="7.6640625" style="21" customWidth="1"/>
    <col min="18" max="19" width="11.44140625" style="21" customWidth="1"/>
    <col min="20" max="21" width="8.6640625" style="21" customWidth="1"/>
    <col min="22" max="22" width="11.44140625" style="21" customWidth="1"/>
    <col min="23" max="23" width="11.109375" style="22" customWidth="1"/>
    <col min="24" max="24" width="11.44140625" style="22" customWidth="1"/>
    <col min="25" max="26" width="7.6640625" style="21" customWidth="1"/>
    <col min="27" max="28" width="11.44140625" style="21" customWidth="1"/>
    <col min="29" max="29" width="8.6640625" style="21" customWidth="1"/>
    <col min="30" max="31" width="11.44140625" style="21" customWidth="1"/>
    <col min="32" max="32" width="11.109375" style="22" customWidth="1"/>
    <col min="33" max="33" width="11.44140625" style="22" customWidth="1"/>
    <col min="34" max="35" width="11.44140625" style="21" customWidth="1"/>
    <col min="36" max="16384" width="13.88671875" style="23"/>
  </cols>
  <sheetData>
    <row r="1" spans="1:35" s="114" customFormat="1" ht="24" customHeight="1" thickBot="1" x14ac:dyDescent="0.45">
      <c r="A1" s="275" t="s">
        <v>50</v>
      </c>
      <c r="B1" s="275"/>
      <c r="C1" s="275"/>
      <c r="D1" s="275"/>
      <c r="E1" s="275"/>
      <c r="F1" s="275"/>
      <c r="G1" s="275"/>
      <c r="H1" s="275"/>
      <c r="I1" s="275"/>
      <c r="N1" s="115"/>
      <c r="O1" s="115"/>
      <c r="W1" s="115"/>
      <c r="X1" s="115"/>
      <c r="AF1" s="115"/>
      <c r="AG1" s="115"/>
    </row>
    <row r="2" spans="1:35" s="102" customFormat="1" ht="15.75" customHeight="1" thickTop="1" thickBot="1" x14ac:dyDescent="0.3">
      <c r="A2" s="24" t="s">
        <v>21</v>
      </c>
      <c r="B2" s="24" t="s">
        <v>30</v>
      </c>
      <c r="C2" s="24" t="s">
        <v>5</v>
      </c>
      <c r="D2" s="24" t="s">
        <v>6</v>
      </c>
      <c r="E2" s="24" t="str">
        <f>[9]l_f0_mode_phon_b0!E1</f>
        <v>std.error</v>
      </c>
      <c r="F2" s="25" t="s">
        <v>4</v>
      </c>
      <c r="G2" s="198" t="s">
        <v>7</v>
      </c>
      <c r="H2" s="186" t="s">
        <v>16</v>
      </c>
      <c r="I2" s="186" t="s">
        <v>19</v>
      </c>
    </row>
    <row r="3" spans="1:35" s="105" customFormat="1" ht="15.75" customHeight="1" thickTop="1" thickBot="1" x14ac:dyDescent="0.3">
      <c r="A3" s="208" t="s">
        <v>26</v>
      </c>
      <c r="B3" s="103">
        <f>[9]l_f0_mode_phon_b0!B6</f>
        <v>-2.33476525133297</v>
      </c>
      <c r="C3" s="104">
        <f>[9]l_f0_mode_phon_b0!C6</f>
        <v>-4.61671876402667</v>
      </c>
      <c r="D3" s="104">
        <f>[9]l_f0_mode_phon_b0!D6</f>
        <v>-5.2811738639284997E-2</v>
      </c>
      <c r="E3" s="104">
        <f>[9]l_f0_mode_phon_b0!E6</f>
        <v>0.707999084236697</v>
      </c>
      <c r="F3" s="104">
        <f>[9]l_f0_mode_phon_b0!F6</f>
        <v>-3.29769529836343</v>
      </c>
      <c r="G3" s="191">
        <f>[9]l_f0_mode_phon_b0!G6</f>
        <v>2.9343582922432798</v>
      </c>
      <c r="H3" s="196">
        <f>[9]l_f0_mode_phon_b0!H6</f>
        <v>4.7305860439716303E-2</v>
      </c>
      <c r="I3" s="192" t="str">
        <f>IF(H3&lt;0.001, "p &lt; .001", _xlfn.CONCAT("p = ", REPLACE(ROUND(H3, 3),1,2,".")))</f>
        <v>p = .047</v>
      </c>
    </row>
    <row r="4" spans="1:35" s="105" customFormat="1" ht="15.75" customHeight="1" thickBot="1" x14ac:dyDescent="0.3">
      <c r="A4" s="211" t="s">
        <v>27</v>
      </c>
      <c r="B4" s="106">
        <f>[10]h_f0_mode_phon_b0!B6</f>
        <v>3.4168136826367101</v>
      </c>
      <c r="C4" s="107">
        <f>[10]h_f0_mode_phon_b0!C6</f>
        <v>-5.4105593324600798E-2</v>
      </c>
      <c r="D4" s="107">
        <f>[10]h_f0_mode_phon_b0!D6</f>
        <v>6.8877329585980203</v>
      </c>
      <c r="E4" s="107">
        <f>[10]h_f0_mode_phon_b0!E6</f>
        <v>1.12147132940085</v>
      </c>
      <c r="F4" s="107">
        <f>[10]h_f0_mode_phon_b0!F6</f>
        <v>3.0467240606696002</v>
      </c>
      <c r="G4" s="257">
        <f>[10]h_f0_mode_phon_b0!G6</f>
        <v>3.1565954176178401</v>
      </c>
      <c r="H4" s="258">
        <f>[10]h_f0_mode_phon_b0!H6</f>
        <v>5.2009788771190703E-2</v>
      </c>
      <c r="I4" s="259" t="str">
        <f>IF(H4&lt;0.001, "p &lt; .001", _xlfn.CONCAT("p = ", REPLACE(ROUND(H4, 3),1,2,".")))</f>
        <v>p = .052</v>
      </c>
    </row>
    <row r="5" spans="1:35" ht="15.75" customHeight="1" thickBot="1" x14ac:dyDescent="0.3">
      <c r="A5" s="214" t="s">
        <v>28</v>
      </c>
      <c r="B5" s="108">
        <f>[11]l_t_mode_phon_b0!B6</f>
        <v>89.929313512108493</v>
      </c>
      <c r="C5" s="108">
        <f>[11]l_t_mode_phon_b0!C6</f>
        <v>73.538351456149897</v>
      </c>
      <c r="D5" s="108">
        <f>[11]l_t_mode_phon_b0!D6</f>
        <v>106.320275568067</v>
      </c>
      <c r="E5" s="103">
        <f>[11]l_t_mode_phon_b0!E6</f>
        <v>7.3764376616059</v>
      </c>
      <c r="F5" s="104">
        <f>[11]l_t_mode_phon_b0!F6</f>
        <v>12.191428659417401</v>
      </c>
      <c r="G5" s="191">
        <f>[11]l_t_mode_phon_b0!G6</f>
        <v>10.205572104300501</v>
      </c>
      <c r="H5" s="196">
        <f>[11]l_t_mode_phon_b0!H6</f>
        <v>2.0692240473470999E-7</v>
      </c>
      <c r="I5" s="260" t="str">
        <f t="shared" ref="I5:I6" si="0">IF(H5&lt;0.001, "p &lt; .001", _xlfn.CONCAT("p = ", REPLACE(ROUND(H5, 3),1,2,".")))</f>
        <v>p &lt; .001</v>
      </c>
      <c r="J5" s="23"/>
    </row>
    <row r="6" spans="1:35" ht="15.75" customHeight="1" thickBot="1" x14ac:dyDescent="0.3">
      <c r="A6" s="214" t="s">
        <v>29</v>
      </c>
      <c r="B6" s="109">
        <f>[12]h_t_mode_phon_b0!B6</f>
        <v>294.05119086836402</v>
      </c>
      <c r="C6" s="109">
        <f>[12]h_t_mode_phon_b0!C6</f>
        <v>213.20404416200401</v>
      </c>
      <c r="D6" s="109">
        <f>[12]h_t_mode_phon_b0!D6</f>
        <v>374.89833757472502</v>
      </c>
      <c r="E6" s="110">
        <f>[12]h_t_mode_phon_b0!E6</f>
        <v>30.340841593289198</v>
      </c>
      <c r="F6" s="111">
        <f>[12]h_t_mode_phon_b0!F6</f>
        <v>9.69159639043772</v>
      </c>
      <c r="G6" s="261">
        <f>[12]h_t_mode_phon_b0!G6</f>
        <v>4.4718850389704299</v>
      </c>
      <c r="H6" s="262">
        <f>[12]h_t_mode_phon_b0!H6</f>
        <v>3.6124452731722698E-4</v>
      </c>
      <c r="I6" s="263" t="str">
        <f t="shared" si="0"/>
        <v>p &lt; .001</v>
      </c>
      <c r="J6" s="23">
        <f>D6-C6</f>
        <v>161.69429341272101</v>
      </c>
    </row>
    <row r="7" spans="1:35" ht="15.75" customHeight="1" thickTop="1" thickBot="1" x14ac:dyDescent="0.3">
      <c r="A7" s="24" t="s">
        <v>22</v>
      </c>
      <c r="B7" s="24" t="str">
        <f t="shared" ref="B7:H7" si="1">B2</f>
        <v>est.</v>
      </c>
      <c r="C7" s="24" t="str">
        <f t="shared" si="1"/>
        <v>2.5% CI</v>
      </c>
      <c r="D7" s="24" t="str">
        <f t="shared" si="1"/>
        <v>97.5% CI</v>
      </c>
      <c r="E7" s="24" t="str">
        <f t="shared" si="1"/>
        <v>std.error</v>
      </c>
      <c r="F7" s="24" t="str">
        <f t="shared" si="1"/>
        <v>t</v>
      </c>
      <c r="G7" s="264" t="str">
        <f t="shared" si="1"/>
        <v>df</v>
      </c>
      <c r="H7" s="265" t="str">
        <f t="shared" si="1"/>
        <v>p. val.</v>
      </c>
      <c r="I7" s="186" t="s">
        <v>19</v>
      </c>
      <c r="L7" s="22"/>
      <c r="M7" s="22"/>
      <c r="N7" s="21"/>
      <c r="O7" s="21"/>
      <c r="U7" s="22"/>
      <c r="V7" s="22"/>
      <c r="W7" s="21"/>
      <c r="X7" s="21"/>
      <c r="AD7" s="22"/>
      <c r="AE7" s="22"/>
      <c r="AF7" s="21"/>
      <c r="AG7" s="21"/>
      <c r="AH7" s="23"/>
      <c r="AI7" s="23"/>
    </row>
    <row r="8" spans="1:35" ht="15.75" customHeight="1" thickTop="1" thickBot="1" x14ac:dyDescent="0.3">
      <c r="A8" s="208" t="s">
        <v>26</v>
      </c>
      <c r="B8" s="103">
        <f>[9]l_f0_mode_phon_b0!B7</f>
        <v>0.53316395417173801</v>
      </c>
      <c r="C8" s="103">
        <f>[9]l_f0_mode_phon_b0!C7</f>
        <v>-1.56564631866027</v>
      </c>
      <c r="D8" s="103">
        <f>[9]l_f0_mode_phon_b0!D7</f>
        <v>2.6319742270037501</v>
      </c>
      <c r="E8" s="104">
        <f>[9]l_f0_mode_phon_b0!E7</f>
        <v>0.90829040330119104</v>
      </c>
      <c r="F8" s="104">
        <f>[9]l_f0_mode_phon_b0!F7</f>
        <v>0.58699723374148605</v>
      </c>
      <c r="G8" s="191">
        <f>[9]l_f0_mode_phon_b0!G7</f>
        <v>7.9071494671193703</v>
      </c>
      <c r="H8" s="196">
        <f>[9]l_f0_mode_phon_b0!H7</f>
        <v>0.573579147373107</v>
      </c>
      <c r="I8" s="192" t="str">
        <f>IF(H8&lt;0.001, "p &lt; .001", _xlfn.CONCAT("p = ", REPLACE(ROUND(H8, 3),1,2,".")))</f>
        <v>p = .574</v>
      </c>
      <c r="L8" s="22"/>
      <c r="M8" s="22"/>
      <c r="N8" s="21"/>
      <c r="O8" s="21"/>
      <c r="U8" s="22"/>
      <c r="V8" s="22"/>
      <c r="W8" s="21"/>
      <c r="X8" s="21"/>
      <c r="AD8" s="22"/>
      <c r="AE8" s="22"/>
      <c r="AF8" s="21"/>
      <c r="AG8" s="21"/>
      <c r="AH8" s="23"/>
      <c r="AI8" s="23"/>
    </row>
    <row r="9" spans="1:35" ht="15.75" customHeight="1" thickBot="1" x14ac:dyDescent="0.3">
      <c r="A9" s="211" t="s">
        <v>27</v>
      </c>
      <c r="B9" s="106">
        <f>[10]h_f0_mode_phon_b0!B7</f>
        <v>3.2183699671122299</v>
      </c>
      <c r="C9" s="106">
        <f>[10]h_f0_mode_phon_b0!C7</f>
        <v>-2.6737645571072301E-2</v>
      </c>
      <c r="D9" s="106">
        <f>[10]h_f0_mode_phon_b0!D7</f>
        <v>6.4634775797955299</v>
      </c>
      <c r="E9" s="107">
        <f>[10]h_f0_mode_phon_b0!E7</f>
        <v>1.38250764841868</v>
      </c>
      <c r="F9" s="107">
        <f>[10]h_f0_mode_phon_b0!F7</f>
        <v>2.3279219979675401</v>
      </c>
      <c r="G9" s="257">
        <f>[10]h_f0_mode_phon_b0!G7</f>
        <v>7.2648274102259398</v>
      </c>
      <c r="H9" s="258">
        <f>[10]h_f0_mode_phon_b0!H7</f>
        <v>5.1468793809265202E-2</v>
      </c>
      <c r="I9" s="259" t="str">
        <f>IF(H9&lt;0.001, "p &lt; .001", _xlfn.CONCAT("p = ", REPLACE(ROUND(H9, 3),1,2,".")))</f>
        <v>p = .051</v>
      </c>
      <c r="L9" s="22"/>
      <c r="M9" s="22"/>
      <c r="N9" s="21"/>
      <c r="O9" s="21"/>
      <c r="U9" s="22"/>
      <c r="V9" s="22"/>
      <c r="W9" s="21"/>
      <c r="X9" s="21"/>
      <c r="AD9" s="22"/>
      <c r="AE9" s="22"/>
      <c r="AF9" s="21"/>
      <c r="AG9" s="21"/>
      <c r="AH9" s="23"/>
      <c r="AI9" s="23"/>
    </row>
    <row r="10" spans="1:35" ht="15.75" customHeight="1" thickBot="1" x14ac:dyDescent="0.3">
      <c r="A10" s="214" t="s">
        <v>28</v>
      </c>
      <c r="B10" s="108">
        <f>[11]l_t_mode_phon_b0!B7</f>
        <v>86.443824810668701</v>
      </c>
      <c r="C10" s="108">
        <f>[11]l_t_mode_phon_b0!C7</f>
        <v>64.320901427844603</v>
      </c>
      <c r="D10" s="108">
        <f>[11]l_t_mode_phon_b0!D7</f>
        <v>108.566748193492</v>
      </c>
      <c r="E10" s="104">
        <f>[11]l_t_mode_phon_b0!E7</f>
        <v>11.000392262748001</v>
      </c>
      <c r="F10" s="104">
        <f>[11]l_t_mode_phon_b0!F7</f>
        <v>7.8582493011093604</v>
      </c>
      <c r="G10" s="191">
        <f>[11]l_t_mode_phon_b0!G7</f>
        <v>47.571138959467397</v>
      </c>
      <c r="H10" s="196">
        <f>[11]l_t_mode_phon_b0!H7</f>
        <v>3.8294553343958899E-10</v>
      </c>
      <c r="I10" s="260" t="str">
        <f t="shared" ref="I10:I11" si="2">IF(H10&lt;0.001, "p &lt; .001", _xlfn.CONCAT("p = ", REPLACE(ROUND(H10, 3),1,2,".")))</f>
        <v>p &lt; .001</v>
      </c>
      <c r="L10" s="22"/>
      <c r="M10" s="22"/>
      <c r="N10" s="21"/>
      <c r="O10" s="21"/>
      <c r="U10" s="22"/>
      <c r="V10" s="22"/>
      <c r="W10" s="21"/>
      <c r="X10" s="21"/>
      <c r="AD10" s="22"/>
      <c r="AE10" s="22"/>
      <c r="AF10" s="21"/>
      <c r="AG10" s="21"/>
      <c r="AH10" s="23"/>
      <c r="AI10" s="23"/>
    </row>
    <row r="11" spans="1:35" ht="15.75" customHeight="1" thickBot="1" x14ac:dyDescent="0.3">
      <c r="A11" s="214" t="s">
        <v>29</v>
      </c>
      <c r="B11" s="109">
        <f>[12]h_t_mode_phon_b0!B7</f>
        <v>222.26560558993</v>
      </c>
      <c r="C11" s="109">
        <f>[12]h_t_mode_phon_b0!C7</f>
        <v>142.35371146867899</v>
      </c>
      <c r="D11" s="109">
        <f>[12]h_t_mode_phon_b0!D7</f>
        <v>302.17749971118099</v>
      </c>
      <c r="E11" s="111">
        <f>[12]h_t_mode_phon_b0!E7</f>
        <v>32.6605745015952</v>
      </c>
      <c r="F11" s="111">
        <f>[12]h_t_mode_phon_b0!F7</f>
        <v>6.8053183075231596</v>
      </c>
      <c r="G11" s="261">
        <f>[12]h_t_mode_phon_b0!G7</f>
        <v>6.0017513786107504</v>
      </c>
      <c r="H11" s="196">
        <f>[12]h_t_mode_phon_b0!H7</f>
        <v>4.9269641280089496E-4</v>
      </c>
      <c r="I11" s="263" t="str">
        <f t="shared" si="2"/>
        <v>p &lt; .001</v>
      </c>
      <c r="J11" s="23">
        <f>D11-C11</f>
        <v>159.82378824250199</v>
      </c>
      <c r="L11" s="22"/>
      <c r="M11" s="22"/>
      <c r="N11" s="21"/>
      <c r="O11" s="21"/>
      <c r="U11" s="22"/>
      <c r="V11" s="22"/>
      <c r="W11" s="21"/>
      <c r="X11" s="21"/>
      <c r="AD11" s="22"/>
      <c r="AE11" s="22"/>
      <c r="AF11" s="21"/>
      <c r="AG11" s="21"/>
      <c r="AH11" s="23"/>
      <c r="AI11" s="23"/>
    </row>
    <row r="12" spans="1:35" ht="15.75" customHeight="1" thickTop="1" thickBot="1" x14ac:dyDescent="0.3">
      <c r="A12" s="24" t="s">
        <v>23</v>
      </c>
      <c r="B12" s="24" t="str">
        <f t="shared" ref="B12:H12" si="3">B2</f>
        <v>est.</v>
      </c>
      <c r="C12" s="24" t="str">
        <f t="shared" si="3"/>
        <v>2.5% CI</v>
      </c>
      <c r="D12" s="24" t="str">
        <f t="shared" si="3"/>
        <v>97.5% CI</v>
      </c>
      <c r="E12" s="24" t="str">
        <f t="shared" si="3"/>
        <v>std.error</v>
      </c>
      <c r="F12" s="24" t="str">
        <f t="shared" si="3"/>
        <v>t</v>
      </c>
      <c r="G12" s="206" t="str">
        <f t="shared" si="3"/>
        <v>df</v>
      </c>
      <c r="H12" s="265" t="str">
        <f t="shared" si="3"/>
        <v>p. val.</v>
      </c>
      <c r="I12" s="186" t="s">
        <v>19</v>
      </c>
      <c r="L12" s="22"/>
      <c r="M12" s="22"/>
      <c r="N12" s="21"/>
      <c r="O12" s="21"/>
      <c r="U12" s="22"/>
      <c r="V12" s="22"/>
      <c r="W12" s="21"/>
      <c r="X12" s="21"/>
      <c r="AD12" s="22"/>
      <c r="AE12" s="22"/>
      <c r="AF12" s="21"/>
      <c r="AG12" s="21"/>
      <c r="AH12" s="23"/>
      <c r="AI12" s="23"/>
    </row>
    <row r="13" spans="1:35" ht="15.75" customHeight="1" thickTop="1" thickBot="1" x14ac:dyDescent="0.3">
      <c r="A13" s="208" t="s">
        <v>26</v>
      </c>
      <c r="B13" s="103">
        <f>[9]l_f0_mode_phon_b0!B8</f>
        <v>-1.9878104405222601</v>
      </c>
      <c r="C13" s="103">
        <f>[9]l_f0_mode_phon_b0!C8</f>
        <v>-4.1214184213063998</v>
      </c>
      <c r="D13" s="103">
        <f>[9]l_f0_mode_phon_b0!D8</f>
        <v>0.14579754026187899</v>
      </c>
      <c r="E13" s="104">
        <f>[9]l_f0_mode_phon_b0!E8</f>
        <v>0.75930130930786599</v>
      </c>
      <c r="F13" s="104">
        <f>[9]l_f0_mode_phon_b0!F8</f>
        <v>-2.6179468099880201</v>
      </c>
      <c r="G13" s="191">
        <f>[9]l_f0_mode_phon_b0!G8</f>
        <v>3.88228814765167</v>
      </c>
      <c r="H13" s="196">
        <f>[9]l_f0_mode_phon_b0!H8</f>
        <v>6.0736196019466303E-2</v>
      </c>
      <c r="I13" s="192" t="str">
        <f>IF(H13&lt;0.001, "p &lt; .001", _xlfn.CONCAT("p = ", REPLACE(ROUND(H13, 3),1,2,".")))</f>
        <v>p = .061</v>
      </c>
      <c r="L13" s="22"/>
      <c r="M13" s="22"/>
      <c r="N13" s="21"/>
      <c r="O13" s="21"/>
      <c r="U13" s="22"/>
      <c r="V13" s="22"/>
      <c r="W13" s="21"/>
      <c r="X13" s="21"/>
      <c r="AD13" s="22"/>
      <c r="AE13" s="22"/>
      <c r="AF13" s="21"/>
      <c r="AG13" s="21"/>
      <c r="AH13" s="23"/>
      <c r="AI13" s="23"/>
    </row>
    <row r="14" spans="1:35" ht="15.75" customHeight="1" thickBot="1" x14ac:dyDescent="0.3">
      <c r="A14" s="211" t="s">
        <v>27</v>
      </c>
      <c r="B14" s="106">
        <f>[10]h_f0_mode_phon_b0!B8</f>
        <v>6.68677793994088</v>
      </c>
      <c r="C14" s="106">
        <f>[10]h_f0_mode_phon_b0!C8</f>
        <v>3.37570442574137</v>
      </c>
      <c r="D14" s="106">
        <f>[10]h_f0_mode_phon_b0!D8</f>
        <v>9.9978514541404007</v>
      </c>
      <c r="E14" s="107">
        <f>[10]h_f0_mode_phon_b0!E8</f>
        <v>1.18541586014366</v>
      </c>
      <c r="F14" s="107">
        <f>[10]h_f0_mode_phon_b0!F8</f>
        <v>5.6408709928434</v>
      </c>
      <c r="G14" s="257">
        <f>[10]h_f0_mode_phon_b0!G8</f>
        <v>3.94008765623619</v>
      </c>
      <c r="H14" s="258">
        <f>[10]h_f0_mode_phon_b0!H8</f>
        <v>5.0867269733013004E-3</v>
      </c>
      <c r="I14" s="259" t="str">
        <f>IF(H14&lt;0.001, "p &lt; .001", _xlfn.CONCAT("p = ", REPLACE(ROUND(H14, 3),1,2,".")))</f>
        <v>p = .005</v>
      </c>
      <c r="L14" s="22"/>
      <c r="M14" s="22"/>
      <c r="N14" s="21"/>
      <c r="O14" s="21"/>
      <c r="U14" s="22"/>
      <c r="V14" s="22"/>
      <c r="W14" s="21"/>
      <c r="X14" s="21"/>
      <c r="AD14" s="22"/>
      <c r="AE14" s="22"/>
      <c r="AF14" s="21"/>
      <c r="AG14" s="21"/>
      <c r="AH14" s="23"/>
      <c r="AI14" s="23"/>
    </row>
    <row r="15" spans="1:35" ht="15.75" customHeight="1" thickBot="1" x14ac:dyDescent="0.3">
      <c r="A15" s="214" t="s">
        <v>28</v>
      </c>
      <c r="B15" s="108">
        <f>[11]l_t_mode_phon_b0!B8</f>
        <v>82.8441327885714</v>
      </c>
      <c r="C15" s="108">
        <f>[11]l_t_mode_phon_b0!C8</f>
        <v>65.2229207893987</v>
      </c>
      <c r="D15" s="108">
        <f>[11]l_t_mode_phon_b0!D8</f>
        <v>100.465344787744</v>
      </c>
      <c r="E15" s="104">
        <f>[11]l_t_mode_phon_b0!E8</f>
        <v>8.3372248642924394</v>
      </c>
      <c r="F15" s="104">
        <f>[11]l_t_mode_phon_b0!F8</f>
        <v>9.9366556782443407</v>
      </c>
      <c r="G15" s="191">
        <f>[11]l_t_mode_phon_b0!G8</f>
        <v>16.613732620412701</v>
      </c>
      <c r="H15" s="196">
        <f>[11]l_t_mode_phon_b0!H8</f>
        <v>2.1106772589426099E-8</v>
      </c>
      <c r="I15" s="260" t="str">
        <f t="shared" ref="I15:I16" si="4">IF(H15&lt;0.001, "p &lt; .001", _xlfn.CONCAT("p = ", REPLACE(ROUND(H15, 3),1,2,".")))</f>
        <v>p &lt; .001</v>
      </c>
      <c r="L15" s="22"/>
      <c r="M15" s="22"/>
      <c r="N15" s="21"/>
      <c r="O15" s="21"/>
      <c r="U15" s="22"/>
      <c r="V15" s="22"/>
      <c r="W15" s="21"/>
      <c r="X15" s="21"/>
      <c r="AD15" s="22"/>
      <c r="AE15" s="22"/>
      <c r="AF15" s="21"/>
      <c r="AG15" s="21"/>
      <c r="AH15" s="23"/>
      <c r="AI15" s="23"/>
    </row>
    <row r="16" spans="1:35" ht="15.75" customHeight="1" thickBot="1" x14ac:dyDescent="0.3">
      <c r="A16" s="214" t="s">
        <v>29</v>
      </c>
      <c r="B16" s="109">
        <f>[12]h_t_mode_phon_b0!B8</f>
        <v>291.53137059724799</v>
      </c>
      <c r="C16" s="109">
        <f>[12]h_t_mode_phon_b0!C8</f>
        <v>211.13541957122101</v>
      </c>
      <c r="D16" s="109">
        <f>[12]h_t_mode_phon_b0!D8</f>
        <v>371.92732162327599</v>
      </c>
      <c r="E16" s="111">
        <f>[12]h_t_mode_phon_b0!E8</f>
        <v>30.877399079162799</v>
      </c>
      <c r="F16" s="111">
        <f>[12]h_t_mode_phon_b0!F8</f>
        <v>9.4415779596534701</v>
      </c>
      <c r="G16" s="261">
        <f>[12]h_t_mode_phon_b0!G8</f>
        <v>4.7966099652244099</v>
      </c>
      <c r="H16" s="262">
        <f>[12]h_t_mode_phon_b0!H8</f>
        <v>2.8091540086608898E-4</v>
      </c>
      <c r="I16" s="263" t="str">
        <f t="shared" si="4"/>
        <v>p &lt; .001</v>
      </c>
      <c r="J16" s="23">
        <f>D16-C16</f>
        <v>160.79190205205498</v>
      </c>
      <c r="L16" s="22"/>
      <c r="M16" s="22"/>
      <c r="N16" s="21"/>
      <c r="O16" s="21"/>
      <c r="U16" s="22"/>
      <c r="V16" s="22"/>
      <c r="W16" s="21"/>
      <c r="X16" s="21"/>
      <c r="AD16" s="22"/>
      <c r="AE16" s="22"/>
      <c r="AF16" s="21"/>
      <c r="AG16" s="21"/>
      <c r="AH16" s="23"/>
      <c r="AI16" s="23"/>
    </row>
    <row r="17" spans="1:35" ht="15.75" customHeight="1" thickTop="1" thickBot="1" x14ac:dyDescent="0.3">
      <c r="A17" s="24" t="s">
        <v>24</v>
      </c>
      <c r="B17" s="24" t="str">
        <f t="shared" ref="B17:H17" si="5">B2</f>
        <v>est.</v>
      </c>
      <c r="C17" s="24" t="str">
        <f t="shared" si="5"/>
        <v>2.5% CI</v>
      </c>
      <c r="D17" s="24" t="str">
        <f t="shared" si="5"/>
        <v>97.5% CI</v>
      </c>
      <c r="E17" s="24" t="str">
        <f t="shared" si="5"/>
        <v>std.error</v>
      </c>
      <c r="F17" s="24" t="str">
        <f t="shared" si="5"/>
        <v>t</v>
      </c>
      <c r="G17" s="206" t="str">
        <f t="shared" si="5"/>
        <v>df</v>
      </c>
      <c r="H17" s="265" t="str">
        <f t="shared" si="5"/>
        <v>p. val.</v>
      </c>
      <c r="I17" s="186" t="s">
        <v>19</v>
      </c>
      <c r="L17" s="22"/>
      <c r="M17" s="22"/>
      <c r="N17" s="21"/>
      <c r="O17" s="21"/>
      <c r="U17" s="22"/>
      <c r="V17" s="22"/>
      <c r="W17" s="21"/>
      <c r="X17" s="21"/>
      <c r="AD17" s="22"/>
      <c r="AE17" s="22"/>
      <c r="AF17" s="21"/>
      <c r="AG17" s="21"/>
      <c r="AH17" s="23"/>
      <c r="AI17" s="23"/>
    </row>
    <row r="18" spans="1:35" ht="15.75" customHeight="1" thickTop="1" thickBot="1" x14ac:dyDescent="0.3">
      <c r="A18" s="208" t="s">
        <v>26</v>
      </c>
      <c r="B18" s="103">
        <f>[9]l_f0_mode_phon_b0!B9</f>
        <v>-8.9523017736445498E-2</v>
      </c>
      <c r="C18" s="103">
        <f>[9]l_f0_mode_phon_b0!C9</f>
        <v>-2.28608923199213</v>
      </c>
      <c r="D18" s="103">
        <f>[9]l_f0_mode_phon_b0!D9</f>
        <v>2.10704319651924</v>
      </c>
      <c r="E18" s="104">
        <f>[9]l_f0_mode_phon_b0!E9</f>
        <v>0.731974546503807</v>
      </c>
      <c r="F18" s="104">
        <f>[9]l_f0_mode_phon_b0!F9</f>
        <v>-0.122303457359332</v>
      </c>
      <c r="G18" s="191">
        <f>[9]l_f0_mode_phon_b0!G9</f>
        <v>3.3533923930426601</v>
      </c>
      <c r="H18" s="196">
        <f>[9]l_f0_mode_phon_b0!H9</f>
        <v>0.90962714597095595</v>
      </c>
      <c r="I18" s="192" t="str">
        <f>IF(H18&lt;0.001, "p &lt; .001", _xlfn.CONCAT("p = ", REPLACE(ROUND(H18, 3),1,2,".")))</f>
        <v>p = .91</v>
      </c>
      <c r="L18" s="22"/>
      <c r="M18" s="22"/>
      <c r="N18" s="21"/>
      <c r="O18" s="21"/>
      <c r="U18" s="22"/>
      <c r="V18" s="22"/>
      <c r="W18" s="21"/>
      <c r="X18" s="21"/>
      <c r="AD18" s="22"/>
      <c r="AE18" s="22"/>
      <c r="AF18" s="21"/>
      <c r="AG18" s="21"/>
      <c r="AH18" s="23"/>
      <c r="AI18" s="23"/>
    </row>
    <row r="19" spans="1:35" ht="15.75" customHeight="1" thickBot="1" x14ac:dyDescent="0.3">
      <c r="A19" s="211" t="s">
        <v>27</v>
      </c>
      <c r="B19" s="106">
        <f>[10]h_f0_mode_phon_b0!B9</f>
        <v>6.3112649583948404</v>
      </c>
      <c r="C19" s="106">
        <f>[10]h_f0_mode_phon_b0!C9</f>
        <v>2.9324993622075</v>
      </c>
      <c r="D19" s="106">
        <f>[10]h_f0_mode_phon_b0!D9</f>
        <v>9.6900305545821901</v>
      </c>
      <c r="E19" s="107">
        <f>[10]h_f0_mode_phon_b0!E9</f>
        <v>1.1526504282805701</v>
      </c>
      <c r="F19" s="107">
        <f>[10]h_f0_mode_phon_b0!F9</f>
        <v>5.4754371347516502</v>
      </c>
      <c r="G19" s="257">
        <f>[10]h_f0_mode_phon_b0!G9</f>
        <v>3.52266842463944</v>
      </c>
      <c r="H19" s="258">
        <f>[10]h_f0_mode_phon_b0!H9</f>
        <v>7.7679131788262598E-3</v>
      </c>
      <c r="I19" s="259" t="str">
        <f>IF(H19&lt;0.001, "p &lt; .001", _xlfn.CONCAT("p = ", REPLACE(ROUND(H19, 3),1,2,".")))</f>
        <v>p = .008</v>
      </c>
      <c r="L19" s="22"/>
      <c r="M19" s="22"/>
      <c r="N19" s="21"/>
      <c r="O19" s="21"/>
      <c r="U19" s="22"/>
      <c r="V19" s="22"/>
      <c r="W19" s="21"/>
      <c r="X19" s="21"/>
      <c r="AD19" s="22"/>
      <c r="AE19" s="22"/>
      <c r="AF19" s="21"/>
      <c r="AG19" s="21"/>
      <c r="AH19" s="23"/>
      <c r="AI19" s="23"/>
    </row>
    <row r="20" spans="1:35" ht="15.75" customHeight="1" thickBot="1" x14ac:dyDescent="0.3">
      <c r="A20" s="214" t="s">
        <v>28</v>
      </c>
      <c r="B20" s="108">
        <f>[11]l_t_mode_phon_b0!B9</f>
        <v>80.649806356779393</v>
      </c>
      <c r="C20" s="108">
        <f>[11]l_t_mode_phon_b0!C9</f>
        <v>63.697614837963201</v>
      </c>
      <c r="D20" s="108">
        <f>[11]l_t_mode_phon_b0!D9</f>
        <v>97.601997875595501</v>
      </c>
      <c r="E20" s="104">
        <f>[11]l_t_mode_phon_b0!E9</f>
        <v>7.8551145430751896</v>
      </c>
      <c r="F20" s="104">
        <f>[11]l_t_mode_phon_b0!F9</f>
        <v>10.2671712696892</v>
      </c>
      <c r="G20" s="191">
        <f>[11]l_t_mode_phon_b0!G9</f>
        <v>13.1353002112668</v>
      </c>
      <c r="H20" s="196">
        <f>[11]l_t_mode_phon_b0!H9</f>
        <v>1.2058923948108E-7</v>
      </c>
      <c r="I20" s="260" t="str">
        <f t="shared" ref="I20:I21" si="6">IF(H20&lt;0.001, "p &lt; .001", _xlfn.CONCAT("p = ", REPLACE(ROUND(H20, 3),1,2,".")))</f>
        <v>p &lt; .001</v>
      </c>
      <c r="L20" s="22"/>
      <c r="M20" s="22"/>
      <c r="N20" s="21"/>
      <c r="O20" s="21"/>
      <c r="U20" s="22"/>
      <c r="V20" s="22"/>
      <c r="W20" s="21"/>
      <c r="X20" s="21"/>
      <c r="AD20" s="22"/>
      <c r="AE20" s="22"/>
      <c r="AF20" s="21"/>
      <c r="AG20" s="21"/>
      <c r="AH20" s="23"/>
      <c r="AI20" s="23"/>
    </row>
    <row r="21" spans="1:35" ht="15.75" customHeight="1" x14ac:dyDescent="0.25">
      <c r="A21" s="214" t="s">
        <v>29</v>
      </c>
      <c r="B21" s="109">
        <f>[12]h_t_mode_phon_b0!B9</f>
        <v>290.49541298269202</v>
      </c>
      <c r="C21" s="109">
        <f>[12]h_t_mode_phon_b0!C9</f>
        <v>209.885246119117</v>
      </c>
      <c r="D21" s="109">
        <f>[12]h_t_mode_phon_b0!D9</f>
        <v>371.10557984626797</v>
      </c>
      <c r="E21" s="111">
        <f>[12]h_t_mode_phon_b0!E9</f>
        <v>30.5972589270249</v>
      </c>
      <c r="F21" s="111">
        <f>[12]h_t_mode_phon_b0!F9</f>
        <v>9.4941646137495503</v>
      </c>
      <c r="G21" s="261">
        <f>[12]h_t_mode_phon_b0!G9</f>
        <v>4.6249972013359999</v>
      </c>
      <c r="H21" s="262">
        <f>[12]h_t_mode_phon_b0!H9</f>
        <v>3.3167528169713499E-4</v>
      </c>
      <c r="I21" s="263" t="str">
        <f t="shared" si="6"/>
        <v>p &lt; .001</v>
      </c>
      <c r="J21" s="23">
        <f>D21-C21</f>
        <v>161.22033372715097</v>
      </c>
      <c r="L21" s="22"/>
      <c r="M21" s="22"/>
      <c r="N21" s="21"/>
      <c r="O21" s="21"/>
      <c r="U21" s="22"/>
      <c r="V21" s="22"/>
      <c r="W21" s="21"/>
      <c r="X21" s="21"/>
      <c r="AD21" s="22"/>
      <c r="AE21" s="22"/>
      <c r="AF21" s="21"/>
      <c r="AG21" s="21"/>
      <c r="AH21" s="23"/>
      <c r="AI21" s="23"/>
    </row>
  </sheetData>
  <mergeCells count="1">
    <mergeCell ref="A1:I1"/>
  </mergeCells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D36"/>
  <sheetViews>
    <sheetView showGridLines="0" topLeftCell="A10" zoomScaleNormal="100" zoomScaleSheetLayoutView="40" workbookViewId="0">
      <selection activeCell="A2" sqref="A2:A37"/>
    </sheetView>
  </sheetViews>
  <sheetFormatPr defaultColWidth="13.88671875" defaultRowHeight="13.2" x14ac:dyDescent="0.25"/>
  <cols>
    <col min="1" max="1" width="17.109375" style="30" customWidth="1"/>
    <col min="2" max="3" width="11.88671875" style="30" customWidth="1"/>
    <col min="4" max="6" width="11.88671875" style="23" customWidth="1"/>
    <col min="7" max="7" width="11.88671875" style="207" customWidth="1"/>
    <col min="8" max="8" width="11.88671875" style="256" customWidth="1"/>
    <col min="9" max="9" width="11.88671875" style="273" customWidth="1"/>
    <col min="10" max="10" width="9.6640625" style="256" customWidth="1"/>
    <col min="11" max="11" width="11.44140625" style="31" customWidth="1"/>
    <col min="12" max="13" width="7.6640625" style="23" customWidth="1"/>
    <col min="14" max="15" width="11.44140625" style="23" customWidth="1"/>
    <col min="16" max="17" width="8.6640625" style="23" customWidth="1"/>
    <col min="18" max="18" width="11.44140625" style="29" customWidth="1"/>
    <col min="19" max="19" width="9.6640625" style="29" customWidth="1"/>
    <col min="20" max="20" width="11.44140625" style="29" customWidth="1"/>
    <col min="21" max="22" width="7.6640625" style="23" customWidth="1"/>
    <col min="23" max="24" width="11.44140625" style="23" customWidth="1"/>
    <col min="25" max="26" width="8.6640625" style="23" customWidth="1"/>
    <col min="27" max="27" width="11.44140625" style="29" customWidth="1"/>
    <col min="28" max="28" width="9.6640625" style="29" customWidth="1"/>
    <col min="29" max="29" width="11.44140625" style="29" customWidth="1"/>
    <col min="30" max="31" width="7.6640625" style="23" customWidth="1"/>
    <col min="32" max="33" width="11.44140625" style="23" customWidth="1"/>
    <col min="34" max="35" width="8.6640625" style="23" customWidth="1"/>
    <col min="36" max="36" width="11.44140625" style="29" customWidth="1"/>
    <col min="37" max="37" width="9.6640625" style="29" customWidth="1"/>
    <col min="38" max="38" width="11.44140625" style="29" customWidth="1"/>
    <col min="39" max="40" width="7.6640625" style="23" customWidth="1"/>
    <col min="41" max="42" width="11.44140625" style="23" customWidth="1"/>
    <col min="43" max="44" width="8.6640625" style="23" customWidth="1"/>
    <col min="45" max="45" width="11.44140625" style="29" customWidth="1"/>
    <col min="46" max="46" width="9.6640625" style="29" customWidth="1"/>
    <col min="47" max="47" width="11.44140625" style="29" customWidth="1"/>
    <col min="48" max="49" width="7.6640625" style="23" customWidth="1"/>
    <col min="50" max="51" width="11.44140625" style="23" customWidth="1"/>
    <col min="52" max="53" width="8.6640625" style="23" customWidth="1"/>
    <col min="54" max="54" width="11.44140625" style="29" customWidth="1"/>
    <col min="55" max="55" width="9.6640625" style="29" customWidth="1"/>
    <col min="56" max="56" width="11.44140625" style="29" customWidth="1"/>
    <col min="57" max="58" width="11.44140625" style="23" customWidth="1"/>
    <col min="59" max="16384" width="13.88671875" style="23"/>
  </cols>
  <sheetData>
    <row r="1" spans="1:56" s="116" customFormat="1" ht="24" customHeight="1" thickBot="1" x14ac:dyDescent="0.45">
      <c r="A1" s="275" t="s">
        <v>51</v>
      </c>
      <c r="B1" s="275"/>
      <c r="C1" s="275"/>
      <c r="D1" s="275"/>
      <c r="E1" s="275"/>
      <c r="F1" s="275"/>
      <c r="G1" s="275"/>
      <c r="H1" s="275"/>
      <c r="I1" s="275"/>
      <c r="J1" s="266"/>
      <c r="K1" s="267"/>
      <c r="R1" s="117"/>
      <c r="S1" s="117"/>
      <c r="T1" s="117"/>
      <c r="AA1" s="117"/>
      <c r="AB1" s="117"/>
      <c r="AC1" s="117"/>
      <c r="AJ1" s="117"/>
      <c r="AK1" s="117"/>
      <c r="AL1" s="117"/>
      <c r="AS1" s="117"/>
      <c r="AT1" s="117"/>
      <c r="AU1" s="117"/>
      <c r="BB1" s="117"/>
      <c r="BC1" s="117"/>
      <c r="BD1" s="117"/>
    </row>
    <row r="2" spans="1:56" s="102" customFormat="1" ht="15.75" customHeight="1" thickTop="1" thickBot="1" x14ac:dyDescent="0.3">
      <c r="A2" s="25" t="s">
        <v>103</v>
      </c>
      <c r="B2" s="24" t="s">
        <v>30</v>
      </c>
      <c r="C2" s="24" t="s">
        <v>5</v>
      </c>
      <c r="D2" s="24" t="s">
        <v>6</v>
      </c>
      <c r="E2" s="24" t="str">
        <f>[9]l_f0_mode_phon_b0!E1</f>
        <v>std.error</v>
      </c>
      <c r="F2" s="25" t="s">
        <v>4</v>
      </c>
      <c r="G2" s="198" t="s">
        <v>7</v>
      </c>
      <c r="H2" s="186" t="s">
        <v>16</v>
      </c>
      <c r="I2" s="199" t="s">
        <v>19</v>
      </c>
      <c r="J2" s="187" t="s">
        <v>46</v>
      </c>
    </row>
    <row r="3" spans="1:56" s="102" customFormat="1" ht="15.75" customHeight="1" thickTop="1" thickBot="1" x14ac:dyDescent="0.3">
      <c r="A3" s="208" t="s">
        <v>26</v>
      </c>
      <c r="B3" s="44">
        <f>[13]l_f0_mode_phon_b1!C8</f>
        <v>2.8679292069280402</v>
      </c>
      <c r="C3" s="44">
        <f>[13]l_f0_mode_phon_b1!D8</f>
        <v>1.7491581522767501</v>
      </c>
      <c r="D3" s="44">
        <f>[13]l_f0_mode_phon_b1!E8</f>
        <v>3.9867002615793301</v>
      </c>
      <c r="E3" s="39">
        <f>[13]l_f0_mode_phon_b1!F8</f>
        <v>0.56968630438078904</v>
      </c>
      <c r="F3" s="39">
        <f>[13]l_f0_mode_phon_b1!G8</f>
        <v>5.03422530061572</v>
      </c>
      <c r="G3" s="188">
        <f>[13]l_f0_mode_phon_b1!H8</f>
        <v>613.69870272355104</v>
      </c>
      <c r="H3" s="190">
        <f>[13]l_f0_mode_phon_b1!I8</f>
        <v>6.3138907831081999E-7</v>
      </c>
      <c r="I3" s="260" t="str">
        <f>IF(H3&lt;0.001, "p &lt; .001", _xlfn.CONCAT("p = ", REPLACE(ROUND(H3, 3),1,2,".")))</f>
        <v>p &lt; .001</v>
      </c>
      <c r="J3" s="193">
        <f>B3-C3</f>
        <v>1.1187710546512901</v>
      </c>
    </row>
    <row r="4" spans="1:56" s="32" customFormat="1" ht="15.75" customHeight="1" thickBot="1" x14ac:dyDescent="0.3">
      <c r="A4" s="211" t="s">
        <v>27</v>
      </c>
      <c r="B4" s="43">
        <f>[14]h_f0_mode_phon_b1!C8</f>
        <v>-0.19844371521982301</v>
      </c>
      <c r="C4" s="43">
        <f>[14]h_f0_mode_phon_b1!D8</f>
        <v>-1.7877470500117401</v>
      </c>
      <c r="D4" s="43">
        <f>[14]h_f0_mode_phon_b1!E8</f>
        <v>1.3908596195720999</v>
      </c>
      <c r="E4" s="42">
        <f>[14]h_f0_mode_phon_b1!F8</f>
        <v>0.80929831790545803</v>
      </c>
      <c r="F4" s="42">
        <f>[14]h_f0_mode_phon_b1!G8</f>
        <v>-0.24520465547662901</v>
      </c>
      <c r="G4" s="194">
        <f>[14]h_f0_mode_phon_b1!H8</f>
        <v>618.95361442560102</v>
      </c>
      <c r="H4" s="190">
        <f>[14]h_f0_mode_phon_b1!I8</f>
        <v>0.80637924741740896</v>
      </c>
      <c r="I4" s="260" t="str">
        <f t="shared" ref="I4:I6" si="0">IF(H4&lt;0.001, "p &lt; .001", _xlfn.CONCAT("p = ", REPLACE(ROUND(H4, 3),1,2,".")))</f>
        <v>p = .806</v>
      </c>
      <c r="J4" s="193">
        <f>B4-C4</f>
        <v>1.589303334791917</v>
      </c>
    </row>
    <row r="5" spans="1:56" ht="15.75" customHeight="1" thickBot="1" x14ac:dyDescent="0.3">
      <c r="A5" s="214" t="s">
        <v>28</v>
      </c>
      <c r="B5" s="40">
        <f>[15]l_t_mode_phon_b1!C8</f>
        <v>-3.4855408380506701</v>
      </c>
      <c r="C5" s="40">
        <f>[15]l_t_mode_phon_b1!D8</f>
        <v>-19.527754938950601</v>
      </c>
      <c r="D5" s="40">
        <f>[15]l_t_mode_phon_b1!E8</f>
        <v>12.5566732628492</v>
      </c>
      <c r="E5" s="44">
        <f>[15]l_t_mode_phon_b1!F8</f>
        <v>8.1688095602082704</v>
      </c>
      <c r="F5" s="39">
        <f>[15]l_t_mode_phon_b1!G8</f>
        <v>-0.42668895784146499</v>
      </c>
      <c r="G5" s="188">
        <f>[15]l_t_mode_phon_b1!H8</f>
        <v>613.63148044812795</v>
      </c>
      <c r="H5" s="190">
        <f>[15]l_t_mode_phon_b1!I8</f>
        <v>0.66975554784957603</v>
      </c>
      <c r="I5" s="260" t="str">
        <f t="shared" si="0"/>
        <v>p = .67</v>
      </c>
      <c r="J5" s="193">
        <f>B5-C5</f>
        <v>16.04221410089993</v>
      </c>
      <c r="K5" s="23"/>
      <c r="P5" s="29"/>
      <c r="Q5" s="29"/>
      <c r="S5" s="23"/>
      <c r="T5" s="23"/>
      <c r="Y5" s="29"/>
      <c r="Z5" s="29"/>
      <c r="AB5" s="23"/>
      <c r="AC5" s="23"/>
      <c r="AH5" s="29"/>
      <c r="AI5" s="29"/>
      <c r="AK5" s="23"/>
      <c r="AL5" s="23"/>
      <c r="AQ5" s="29"/>
      <c r="AR5" s="29"/>
      <c r="AT5" s="23"/>
      <c r="AU5" s="23"/>
      <c r="AZ5" s="29"/>
      <c r="BA5" s="29"/>
      <c r="BC5" s="23"/>
      <c r="BD5" s="23"/>
    </row>
    <row r="6" spans="1:56" ht="15.75" customHeight="1" x14ac:dyDescent="0.25">
      <c r="A6" s="214" t="s">
        <v>29</v>
      </c>
      <c r="B6" s="37">
        <f>[16]h_t_mode_phon_b1!C8</f>
        <v>-71.785585283959605</v>
      </c>
      <c r="C6" s="37">
        <f>[16]h_t_mode_phon_b1!D8</f>
        <v>-95.529250193013695</v>
      </c>
      <c r="D6" s="37">
        <f>[16]h_t_mode_phon_b1!E8</f>
        <v>-48.041920374905402</v>
      </c>
      <c r="E6" s="268">
        <f>[16]h_t_mode_phon_b1!F8</f>
        <v>12.090482539677099</v>
      </c>
      <c r="F6" s="36">
        <f>[16]h_t_mode_phon_b1!G8</f>
        <v>-5.9373631323962597</v>
      </c>
      <c r="G6" s="201">
        <f>[16]h_t_mode_phon_b1!H8</f>
        <v>614.64585639042195</v>
      </c>
      <c r="H6" s="203">
        <f>[16]h_t_mode_phon_b1!I8</f>
        <v>4.84507441767796E-9</v>
      </c>
      <c r="I6" s="272" t="str">
        <f t="shared" si="0"/>
        <v>p &lt; .001</v>
      </c>
      <c r="J6" s="193">
        <f>B6-C6</f>
        <v>23.74366490905409</v>
      </c>
      <c r="K6" s="23"/>
      <c r="R6" s="23"/>
      <c r="S6" s="23"/>
      <c r="T6" s="23"/>
      <c r="AA6" s="23"/>
      <c r="AB6" s="23"/>
      <c r="AC6" s="23"/>
      <c r="AJ6" s="23"/>
      <c r="AK6" s="23"/>
      <c r="AL6" s="23"/>
      <c r="AS6" s="23"/>
      <c r="AT6" s="23"/>
      <c r="AU6" s="23"/>
      <c r="BB6" s="23"/>
      <c r="BC6" s="23"/>
      <c r="BD6" s="23"/>
    </row>
    <row r="7" spans="1:56" ht="15.75" customHeight="1" thickBot="1" x14ac:dyDescent="0.3">
      <c r="A7" s="269"/>
      <c r="B7" s="269"/>
      <c r="C7" s="269"/>
      <c r="D7" s="269"/>
      <c r="E7" s="270"/>
      <c r="F7" s="271"/>
      <c r="G7" s="243"/>
      <c r="H7" s="203"/>
      <c r="I7" s="272"/>
      <c r="J7" s="193"/>
      <c r="K7" s="23"/>
      <c r="R7" s="23"/>
      <c r="S7" s="23"/>
      <c r="T7" s="23"/>
      <c r="AA7" s="23"/>
      <c r="AB7" s="23"/>
      <c r="AC7" s="23"/>
      <c r="AJ7" s="23"/>
      <c r="AK7" s="23"/>
      <c r="AL7" s="23"/>
      <c r="AS7" s="23"/>
      <c r="AT7" s="23"/>
      <c r="AU7" s="23"/>
      <c r="BB7" s="23"/>
      <c r="BC7" s="23"/>
      <c r="BD7" s="23"/>
    </row>
    <row r="8" spans="1:56" ht="15.75" customHeight="1" thickTop="1" thickBot="1" x14ac:dyDescent="0.3">
      <c r="A8" s="25" t="s">
        <v>104</v>
      </c>
      <c r="B8" s="25" t="str">
        <f t="shared" ref="B8:H8" si="1">B2</f>
        <v>est.</v>
      </c>
      <c r="C8" s="25" t="str">
        <f t="shared" si="1"/>
        <v>2.5% CI</v>
      </c>
      <c r="D8" s="25" t="str">
        <f t="shared" si="1"/>
        <v>97.5% CI</v>
      </c>
      <c r="E8" s="25" t="str">
        <f t="shared" si="1"/>
        <v>std.error</v>
      </c>
      <c r="F8" s="25" t="str">
        <f t="shared" si="1"/>
        <v>t</v>
      </c>
      <c r="G8" s="185" t="str">
        <f t="shared" si="1"/>
        <v>df</v>
      </c>
      <c r="H8" s="186" t="str">
        <f t="shared" si="1"/>
        <v>p. val.</v>
      </c>
      <c r="I8" s="199" t="s">
        <v>19</v>
      </c>
      <c r="J8" s="187" t="s">
        <v>46</v>
      </c>
      <c r="K8" s="23"/>
      <c r="N8" s="29"/>
      <c r="O8" s="29"/>
      <c r="P8" s="29"/>
      <c r="R8" s="23"/>
      <c r="S8" s="23"/>
      <c r="T8" s="23"/>
      <c r="W8" s="29"/>
      <c r="X8" s="29"/>
      <c r="Y8" s="29"/>
      <c r="AA8" s="23"/>
      <c r="AB8" s="23"/>
      <c r="AC8" s="23"/>
      <c r="AF8" s="29"/>
      <c r="AG8" s="29"/>
      <c r="AH8" s="29"/>
      <c r="AJ8" s="23"/>
      <c r="AK8" s="23"/>
      <c r="AL8" s="23"/>
      <c r="AO8" s="29"/>
      <c r="AP8" s="29"/>
      <c r="AQ8" s="29"/>
      <c r="AS8" s="23"/>
      <c r="AT8" s="23"/>
      <c r="AU8" s="23"/>
      <c r="AX8" s="29"/>
      <c r="AY8" s="29"/>
      <c r="AZ8" s="29"/>
      <c r="BB8" s="23"/>
      <c r="BC8" s="23"/>
      <c r="BD8" s="23"/>
    </row>
    <row r="9" spans="1:56" ht="15.75" customHeight="1" thickTop="1" thickBot="1" x14ac:dyDescent="0.3">
      <c r="A9" s="208" t="s">
        <v>26</v>
      </c>
      <c r="B9" s="44">
        <f>[13]l_f0_mode_phon_b1!C9</f>
        <v>0.34695481077673501</v>
      </c>
      <c r="C9" s="44">
        <f>[13]l_f0_mode_phon_b1!D9</f>
        <v>-0.19679744091509699</v>
      </c>
      <c r="D9" s="44">
        <f>[13]l_f0_mode_phon_b1!E9</f>
        <v>0.89070706246856801</v>
      </c>
      <c r="E9" s="39">
        <f>[13]l_f0_mode_phon_b1!F9</f>
        <v>0.27688114288336002</v>
      </c>
      <c r="F9" s="39">
        <f>[13]l_f0_mode_phon_b1!G9</f>
        <v>1.2530821245666901</v>
      </c>
      <c r="G9" s="188">
        <f>[13]l_f0_mode_phon_b1!H9</f>
        <v>612.09619363946001</v>
      </c>
      <c r="H9" s="190">
        <f>[13]l_f0_mode_phon_b1!I9</f>
        <v>0.21065428740390599</v>
      </c>
      <c r="I9" s="260" t="str">
        <f>IF(H9&lt;0.001, "p &lt; .001", _xlfn.CONCAT("p = ", REPLACE(ROUND(H9, 3),1,2,".")))</f>
        <v>p = .211</v>
      </c>
      <c r="J9" s="193">
        <f>B9-C9</f>
        <v>0.54375225169183206</v>
      </c>
      <c r="K9" s="23"/>
      <c r="N9" s="29"/>
      <c r="O9" s="29"/>
      <c r="P9" s="29"/>
      <c r="R9" s="23"/>
      <c r="S9" s="23"/>
      <c r="T9" s="23"/>
      <c r="W9" s="29"/>
      <c r="X9" s="29"/>
      <c r="Y9" s="29"/>
      <c r="AA9" s="23"/>
      <c r="AB9" s="23"/>
      <c r="AC9" s="23"/>
      <c r="AF9" s="29"/>
      <c r="AG9" s="29"/>
      <c r="AH9" s="29"/>
      <c r="AJ9" s="23"/>
      <c r="AK9" s="23"/>
      <c r="AL9" s="23"/>
      <c r="AO9" s="29"/>
      <c r="AP9" s="29"/>
      <c r="AQ9" s="29"/>
      <c r="AS9" s="23"/>
      <c r="AT9" s="23"/>
      <c r="AU9" s="23"/>
      <c r="AX9" s="29"/>
      <c r="AY9" s="29"/>
      <c r="AZ9" s="29"/>
      <c r="BB9" s="23"/>
      <c r="BC9" s="23"/>
      <c r="BD9" s="23"/>
    </row>
    <row r="10" spans="1:56" ht="15.75" customHeight="1" thickBot="1" x14ac:dyDescent="0.3">
      <c r="A10" s="211" t="s">
        <v>27</v>
      </c>
      <c r="B10" s="43">
        <f>[14]h_f0_mode_phon_b1!C9</f>
        <v>3.2699642576496899</v>
      </c>
      <c r="C10" s="43">
        <f>[14]h_f0_mode_phon_b1!D9</f>
        <v>2.51806888749566</v>
      </c>
      <c r="D10" s="43">
        <f>[14]h_f0_mode_phon_b1!E9</f>
        <v>4.0218596278037202</v>
      </c>
      <c r="E10" s="42">
        <f>[14]h_f0_mode_phon_b1!F9</f>
        <v>0.38287427197868101</v>
      </c>
      <c r="F10" s="42">
        <f>[14]h_f0_mode_phon_b1!G9</f>
        <v>8.5405693120893993</v>
      </c>
      <c r="G10" s="194">
        <f>[14]h_f0_mode_phon_b1!H9</f>
        <v>616.72864570412003</v>
      </c>
      <c r="H10" s="190">
        <f>[14]h_f0_mode_phon_b1!I9</f>
        <v>1.04371682019489E-16</v>
      </c>
      <c r="I10" s="260" t="str">
        <f t="shared" ref="I10:I12" si="2">IF(H10&lt;0.001, "p &lt; .001", _xlfn.CONCAT("p = ", REPLACE(ROUND(H10, 3),1,2,".")))</f>
        <v>p &lt; .001</v>
      </c>
      <c r="J10" s="193">
        <f>B10-C10</f>
        <v>0.75189537015402985</v>
      </c>
      <c r="K10" s="23"/>
      <c r="N10" s="29"/>
      <c r="O10" s="29"/>
      <c r="P10" s="29"/>
      <c r="R10" s="23"/>
      <c r="S10" s="23"/>
      <c r="T10" s="23"/>
      <c r="W10" s="29"/>
      <c r="X10" s="29"/>
      <c r="Y10" s="29"/>
      <c r="AA10" s="23"/>
      <c r="AB10" s="23"/>
      <c r="AC10" s="23"/>
      <c r="AF10" s="29"/>
      <c r="AG10" s="29"/>
      <c r="AH10" s="29"/>
      <c r="AJ10" s="23"/>
      <c r="AK10" s="23"/>
      <c r="AL10" s="23"/>
      <c r="AO10" s="29"/>
      <c r="AP10" s="29"/>
      <c r="AQ10" s="29"/>
      <c r="AS10" s="23"/>
      <c r="AT10" s="23"/>
      <c r="AU10" s="23"/>
      <c r="AX10" s="29"/>
      <c r="AY10" s="29"/>
      <c r="AZ10" s="29"/>
      <c r="BB10" s="23"/>
      <c r="BC10" s="23"/>
      <c r="BD10" s="23"/>
    </row>
    <row r="11" spans="1:56" ht="15.75" customHeight="1" thickBot="1" x14ac:dyDescent="0.3">
      <c r="A11" s="214" t="s">
        <v>28</v>
      </c>
      <c r="B11" s="40">
        <f>[15]l_t_mode_phon_b1!C9</f>
        <v>-7.0852176785093297</v>
      </c>
      <c r="C11" s="40">
        <f>[15]l_t_mode_phon_b1!D9</f>
        <v>-14.6820478320679</v>
      </c>
      <c r="D11" s="40">
        <f>[15]l_t_mode_phon_b1!E9</f>
        <v>0.51161247504931395</v>
      </c>
      <c r="E11" s="39">
        <f>[15]l_t_mode_phon_b1!F9</f>
        <v>3.8683529031339701</v>
      </c>
      <c r="F11" s="39">
        <f>[15]l_t_mode_phon_b1!G9</f>
        <v>-1.8315851360844499</v>
      </c>
      <c r="G11" s="188">
        <f>[15]l_t_mode_phon_b1!H9</f>
        <v>613.06511949291803</v>
      </c>
      <c r="H11" s="190">
        <f>[15]l_t_mode_phon_b1!I9</f>
        <v>6.7498310335241299E-2</v>
      </c>
      <c r="I11" s="260" t="str">
        <f t="shared" si="2"/>
        <v>p = .067</v>
      </c>
      <c r="J11" s="193">
        <f>B11-C11</f>
        <v>7.5968301535585701</v>
      </c>
      <c r="K11" s="23"/>
      <c r="P11" s="29"/>
      <c r="Q11" s="29"/>
      <c r="S11" s="23"/>
      <c r="T11" s="23"/>
      <c r="Y11" s="29"/>
      <c r="Z11" s="29"/>
      <c r="AB11" s="23"/>
      <c r="AC11" s="23"/>
      <c r="AH11" s="29"/>
      <c r="AI11" s="29"/>
      <c r="AK11" s="23"/>
      <c r="AL11" s="23"/>
      <c r="AQ11" s="29"/>
      <c r="AR11" s="29"/>
      <c r="AT11" s="23"/>
      <c r="AU11" s="23"/>
      <c r="AZ11" s="29"/>
      <c r="BA11" s="29"/>
      <c r="BC11" s="23"/>
      <c r="BD11" s="23"/>
    </row>
    <row r="12" spans="1:56" ht="15.75" customHeight="1" x14ac:dyDescent="0.25">
      <c r="A12" s="214" t="s">
        <v>29</v>
      </c>
      <c r="B12" s="37">
        <f>[16]h_t_mode_phon_b1!C9</f>
        <v>-2.51982027117334</v>
      </c>
      <c r="C12" s="37">
        <f>[16]h_t_mode_phon_b1!D9</f>
        <v>-13.730258163909401</v>
      </c>
      <c r="D12" s="37">
        <f>[16]h_t_mode_phon_b1!E9</f>
        <v>8.69061762156276</v>
      </c>
      <c r="E12" s="36">
        <f>[16]h_t_mode_phon_b1!F9</f>
        <v>5.7084254451660996</v>
      </c>
      <c r="F12" s="36">
        <f>[16]h_t_mode_phon_b1!G9</f>
        <v>-0.441421245731979</v>
      </c>
      <c r="G12" s="201">
        <f>[16]h_t_mode_phon_b1!H9</f>
        <v>613.12647078644704</v>
      </c>
      <c r="H12" s="203">
        <f>[16]h_t_mode_phon_b1!I9</f>
        <v>0.65906368992076403</v>
      </c>
      <c r="I12" s="272" t="str">
        <f t="shared" si="2"/>
        <v>p = .659</v>
      </c>
      <c r="J12" s="193">
        <f>B12-C12</f>
        <v>11.21043789273606</v>
      </c>
      <c r="K12" s="23"/>
      <c r="P12" s="29"/>
      <c r="Q12" s="29"/>
      <c r="S12" s="23"/>
      <c r="T12" s="23"/>
      <c r="Y12" s="29"/>
      <c r="Z12" s="29"/>
      <c r="AB12" s="23"/>
      <c r="AC12" s="23"/>
      <c r="AH12" s="29"/>
      <c r="AI12" s="29"/>
      <c r="AK12" s="23"/>
      <c r="AL12" s="23"/>
      <c r="AQ12" s="29"/>
      <c r="AR12" s="29"/>
      <c r="AT12" s="23"/>
      <c r="AU12" s="23"/>
      <c r="AZ12" s="29"/>
      <c r="BA12" s="29"/>
      <c r="BC12" s="23"/>
      <c r="BD12" s="23"/>
    </row>
    <row r="13" spans="1:56" ht="15.75" customHeight="1" thickBot="1" x14ac:dyDescent="0.3">
      <c r="A13" s="269"/>
      <c r="B13" s="269"/>
      <c r="C13" s="269"/>
      <c r="D13" s="269"/>
      <c r="E13" s="271"/>
      <c r="F13" s="271"/>
      <c r="G13" s="243"/>
      <c r="H13" s="203"/>
      <c r="I13" s="272"/>
      <c r="J13" s="193"/>
      <c r="K13" s="23"/>
      <c r="P13" s="29"/>
      <c r="Q13" s="29"/>
      <c r="S13" s="23"/>
      <c r="T13" s="23"/>
      <c r="Y13" s="29"/>
      <c r="Z13" s="29"/>
      <c r="AB13" s="23"/>
      <c r="AC13" s="23"/>
      <c r="AH13" s="29"/>
      <c r="AI13" s="29"/>
      <c r="AK13" s="23"/>
      <c r="AL13" s="23"/>
      <c r="AQ13" s="29"/>
      <c r="AR13" s="29"/>
      <c r="AT13" s="23"/>
      <c r="AU13" s="23"/>
      <c r="AZ13" s="29"/>
      <c r="BA13" s="29"/>
      <c r="BC13" s="23"/>
      <c r="BD13" s="23"/>
    </row>
    <row r="14" spans="1:56" ht="15.75" customHeight="1" thickTop="1" thickBot="1" x14ac:dyDescent="0.3">
      <c r="A14" s="25" t="s">
        <v>105</v>
      </c>
      <c r="B14" s="25" t="str">
        <f t="shared" ref="B14:H14" si="3">B8</f>
        <v>est.</v>
      </c>
      <c r="C14" s="25" t="str">
        <f t="shared" si="3"/>
        <v>2.5% CI</v>
      </c>
      <c r="D14" s="25" t="str">
        <f t="shared" si="3"/>
        <v>97.5% CI</v>
      </c>
      <c r="E14" s="25" t="str">
        <f t="shared" si="3"/>
        <v>std.error</v>
      </c>
      <c r="F14" s="25" t="str">
        <f t="shared" si="3"/>
        <v>t</v>
      </c>
      <c r="G14" s="185" t="str">
        <f t="shared" si="3"/>
        <v>df</v>
      </c>
      <c r="H14" s="186" t="str">
        <f t="shared" si="3"/>
        <v>p. val.</v>
      </c>
      <c r="I14" s="199" t="s">
        <v>19</v>
      </c>
      <c r="J14" s="187" t="s">
        <v>46</v>
      </c>
      <c r="K14" s="23"/>
      <c r="P14" s="29"/>
      <c r="Q14" s="29"/>
      <c r="S14" s="23"/>
      <c r="T14" s="23"/>
      <c r="Y14" s="29"/>
      <c r="Z14" s="29"/>
      <c r="AB14" s="23"/>
      <c r="AC14" s="23"/>
      <c r="AH14" s="29"/>
      <c r="AI14" s="29"/>
      <c r="AK14" s="23"/>
      <c r="AL14" s="23"/>
      <c r="AQ14" s="29"/>
      <c r="AR14" s="29"/>
      <c r="AT14" s="23"/>
      <c r="AU14" s="23"/>
      <c r="AZ14" s="29"/>
      <c r="BA14" s="29"/>
      <c r="BC14" s="23"/>
      <c r="BD14" s="23"/>
    </row>
    <row r="15" spans="1:56" ht="15.75" customHeight="1" thickTop="1" thickBot="1" x14ac:dyDescent="0.3">
      <c r="A15" s="208" t="s">
        <v>26</v>
      </c>
      <c r="B15" s="44">
        <f>[13]l_f0_mode_phon_b1!C10</f>
        <v>2.2452422339776898</v>
      </c>
      <c r="C15" s="44">
        <f>[13]l_f0_mode_phon_b1!D10</f>
        <v>1.8937317285747799</v>
      </c>
      <c r="D15" s="44">
        <f>[13]l_f0_mode_phon_b1!E10</f>
        <v>2.5967527393805998</v>
      </c>
      <c r="E15" s="39">
        <f>[13]l_f0_mode_phon_b1!F10</f>
        <v>0.17899051146095099</v>
      </c>
      <c r="F15" s="39">
        <f>[13]l_f0_mode_phon_b1!G10</f>
        <v>12.5439176392739</v>
      </c>
      <c r="G15" s="188">
        <f>[13]l_f0_mode_phon_b1!H10</f>
        <v>611.66213810550403</v>
      </c>
      <c r="H15" s="190">
        <f>[13]l_f0_mode_phon_b1!I10</f>
        <v>2.7806132787744498E-32</v>
      </c>
      <c r="I15" s="260" t="str">
        <f>IF(H15&lt;0.001, "p &lt; .001", _xlfn.CONCAT("p = ", REPLACE(ROUND(H15, 3),1,2,".")))</f>
        <v>p &lt; .001</v>
      </c>
      <c r="J15" s="193">
        <f>B15-C15</f>
        <v>0.35151050540290996</v>
      </c>
      <c r="K15" s="23"/>
      <c r="P15" s="29"/>
      <c r="Q15" s="29"/>
      <c r="S15" s="23"/>
      <c r="T15" s="23"/>
      <c r="Y15" s="29"/>
      <c r="Z15" s="29"/>
      <c r="AB15" s="23"/>
      <c r="AC15" s="23"/>
      <c r="AH15" s="29"/>
      <c r="AI15" s="29"/>
      <c r="AK15" s="23"/>
      <c r="AL15" s="23"/>
      <c r="AQ15" s="29"/>
      <c r="AR15" s="29"/>
      <c r="AT15" s="23"/>
      <c r="AU15" s="23"/>
      <c r="AZ15" s="29"/>
      <c r="BA15" s="29"/>
      <c r="BC15" s="23"/>
      <c r="BD15" s="23"/>
    </row>
    <row r="16" spans="1:56" ht="15.75" customHeight="1" thickBot="1" x14ac:dyDescent="0.3">
      <c r="A16" s="211" t="s">
        <v>27</v>
      </c>
      <c r="B16" s="43">
        <f>[14]h_f0_mode_phon_b1!C10</f>
        <v>2.8944512760333798</v>
      </c>
      <c r="C16" s="43">
        <f>[14]h_f0_mode_phon_b1!D10</f>
        <v>2.4016668177576301</v>
      </c>
      <c r="D16" s="43">
        <f>[14]h_f0_mode_phon_b1!E10</f>
        <v>3.3872357343091202</v>
      </c>
      <c r="E16" s="42">
        <f>[14]h_f0_mode_phon_b1!F10</f>
        <v>0.25093196195292999</v>
      </c>
      <c r="F16" s="42">
        <f>[14]h_f0_mode_phon_b1!G10</f>
        <v>11.5348051061598</v>
      </c>
      <c r="G16" s="194">
        <f>[14]h_f0_mode_phon_b1!H10</f>
        <v>616.87781800571599</v>
      </c>
      <c r="H16" s="190">
        <f>[14]h_f0_mode_phon_b1!I10</f>
        <v>5.20926996980115E-28</v>
      </c>
      <c r="I16" s="260" t="str">
        <f t="shared" ref="I16:I18" si="4">IF(H16&lt;0.001, "p &lt; .001", _xlfn.CONCAT("p = ", REPLACE(ROUND(H16, 3),1,2,".")))</f>
        <v>p &lt; .001</v>
      </c>
      <c r="J16" s="193">
        <f>B16-C16</f>
        <v>0.49278445827574968</v>
      </c>
      <c r="K16" s="23"/>
      <c r="P16" s="29"/>
      <c r="Q16" s="29"/>
      <c r="S16" s="23"/>
      <c r="T16" s="23"/>
      <c r="Y16" s="29"/>
      <c r="Z16" s="29"/>
      <c r="AB16" s="23"/>
      <c r="AC16" s="23"/>
      <c r="AH16" s="29"/>
      <c r="AI16" s="29"/>
      <c r="AK16" s="23"/>
      <c r="AL16" s="23"/>
      <c r="AQ16" s="29"/>
      <c r="AR16" s="29"/>
      <c r="AT16" s="23"/>
      <c r="AU16" s="23"/>
      <c r="AZ16" s="29"/>
      <c r="BA16" s="29"/>
      <c r="BC16" s="23"/>
      <c r="BD16" s="23"/>
    </row>
    <row r="17" spans="1:56" ht="15.75" customHeight="1" thickBot="1" x14ac:dyDescent="0.3">
      <c r="A17" s="214" t="s">
        <v>28</v>
      </c>
      <c r="B17" s="40">
        <f>[15]l_t_mode_phon_b1!C10</f>
        <v>-9.2795679617357703</v>
      </c>
      <c r="C17" s="40">
        <f>[15]l_t_mode_phon_b1!D10</f>
        <v>-14.283145767576899</v>
      </c>
      <c r="D17" s="40">
        <f>[15]l_t_mode_phon_b1!E10</f>
        <v>-4.2759901558946103</v>
      </c>
      <c r="E17" s="39">
        <f>[15]l_t_mode_phon_b1!F10</f>
        <v>2.5478443894321998</v>
      </c>
      <c r="F17" s="39">
        <f>[15]l_t_mode_phon_b1!G10</f>
        <v>-3.6421250843359898</v>
      </c>
      <c r="G17" s="188">
        <f>[15]l_t_mode_phon_b1!H10</f>
        <v>612.04765474632597</v>
      </c>
      <c r="H17" s="190">
        <f>[15]l_t_mode_phon_b1!I10</f>
        <v>2.9330492632409098E-4</v>
      </c>
      <c r="I17" s="260" t="str">
        <f t="shared" si="4"/>
        <v>p &lt; .001</v>
      </c>
      <c r="J17" s="193">
        <f>B17-C17</f>
        <v>5.0035778058411289</v>
      </c>
      <c r="K17" s="23"/>
      <c r="P17" s="29"/>
      <c r="Q17" s="29"/>
      <c r="S17" s="23"/>
      <c r="T17" s="23"/>
      <c r="Y17" s="29"/>
      <c r="Z17" s="29"/>
      <c r="AB17" s="23"/>
      <c r="AC17" s="23"/>
      <c r="AH17" s="29"/>
      <c r="AI17" s="29"/>
      <c r="AK17" s="23"/>
      <c r="AL17" s="23"/>
      <c r="AQ17" s="29"/>
      <c r="AR17" s="29"/>
      <c r="AT17" s="23"/>
      <c r="AU17" s="23"/>
      <c r="AZ17" s="29"/>
      <c r="BA17" s="29"/>
      <c r="BC17" s="23"/>
      <c r="BD17" s="23"/>
    </row>
    <row r="18" spans="1:56" ht="15.75" customHeight="1" x14ac:dyDescent="0.25">
      <c r="A18" s="214" t="s">
        <v>29</v>
      </c>
      <c r="B18" s="37">
        <f>[16]h_t_mode_phon_b1!C10</f>
        <v>-3.55577788582498</v>
      </c>
      <c r="C18" s="37">
        <f>[16]h_t_mode_phon_b1!D10</f>
        <v>-10.8934032527802</v>
      </c>
      <c r="D18" s="37">
        <f>[16]h_t_mode_phon_b1!E10</f>
        <v>3.78184748113028</v>
      </c>
      <c r="E18" s="36">
        <f>[16]h_t_mode_phon_b1!F10</f>
        <v>3.73636488187244</v>
      </c>
      <c r="F18" s="36">
        <f>[16]h_t_mode_phon_b1!G10</f>
        <v>-0.95166773006469396</v>
      </c>
      <c r="G18" s="201">
        <f>[16]h_t_mode_phon_b1!H10</f>
        <v>613.11981751104895</v>
      </c>
      <c r="H18" s="203">
        <f>[16]h_t_mode_phon_b1!I10</f>
        <v>0.34164052153100299</v>
      </c>
      <c r="I18" s="272" t="str">
        <f t="shared" si="4"/>
        <v>p = .342</v>
      </c>
      <c r="J18" s="193">
        <f>B18-C18</f>
        <v>7.3376253669552192</v>
      </c>
      <c r="K18" s="23"/>
      <c r="P18" s="29"/>
      <c r="Q18" s="29"/>
      <c r="S18" s="23"/>
      <c r="T18" s="23"/>
      <c r="Y18" s="29"/>
      <c r="Z18" s="29"/>
      <c r="AB18" s="23"/>
      <c r="AC18" s="23"/>
      <c r="AH18" s="29"/>
      <c r="AI18" s="29"/>
      <c r="AK18" s="23"/>
      <c r="AL18" s="23"/>
      <c r="AQ18" s="29"/>
      <c r="AR18" s="29"/>
      <c r="AT18" s="23"/>
      <c r="AU18" s="23"/>
      <c r="AZ18" s="29"/>
      <c r="BA18" s="29"/>
      <c r="BC18" s="23"/>
      <c r="BD18" s="23"/>
    </row>
    <row r="19" spans="1:56" ht="15.75" customHeight="1" thickBot="1" x14ac:dyDescent="0.3">
      <c r="A19" s="269"/>
      <c r="B19" s="269"/>
      <c r="C19" s="269"/>
      <c r="D19" s="269"/>
      <c r="E19" s="271"/>
      <c r="F19" s="271"/>
      <c r="G19" s="243"/>
      <c r="H19" s="203"/>
      <c r="I19" s="272"/>
      <c r="J19" s="193"/>
      <c r="K19" s="23"/>
      <c r="P19" s="29"/>
      <c r="Q19" s="29"/>
      <c r="S19" s="23"/>
      <c r="T19" s="23"/>
      <c r="Y19" s="29"/>
      <c r="Z19" s="29"/>
      <c r="AB19" s="23"/>
      <c r="AC19" s="23"/>
      <c r="AH19" s="29"/>
      <c r="AI19" s="29"/>
      <c r="AK19" s="23"/>
      <c r="AL19" s="23"/>
      <c r="AQ19" s="29"/>
      <c r="AR19" s="29"/>
      <c r="AT19" s="23"/>
      <c r="AU19" s="23"/>
      <c r="AZ19" s="29"/>
      <c r="BA19" s="29"/>
      <c r="BC19" s="23"/>
      <c r="BD19" s="23"/>
    </row>
    <row r="20" spans="1:56" ht="15.75" customHeight="1" thickTop="1" thickBot="1" x14ac:dyDescent="0.3">
      <c r="A20" s="25" t="s">
        <v>106</v>
      </c>
      <c r="B20" s="25" t="str">
        <f t="shared" ref="B20:H20" si="5">B14</f>
        <v>est.</v>
      </c>
      <c r="C20" s="25" t="str">
        <f t="shared" si="5"/>
        <v>2.5% CI</v>
      </c>
      <c r="D20" s="25" t="str">
        <f t="shared" si="5"/>
        <v>97.5% CI</v>
      </c>
      <c r="E20" s="25" t="str">
        <f t="shared" si="5"/>
        <v>std.error</v>
      </c>
      <c r="F20" s="25" t="str">
        <f t="shared" si="5"/>
        <v>t</v>
      </c>
      <c r="G20" s="185" t="str">
        <f t="shared" si="5"/>
        <v>df</v>
      </c>
      <c r="H20" s="186" t="str">
        <f t="shared" si="5"/>
        <v>p. val.</v>
      </c>
      <c r="I20" s="199" t="s">
        <v>19</v>
      </c>
      <c r="J20" s="187" t="s">
        <v>46</v>
      </c>
      <c r="K20" s="23"/>
      <c r="P20" s="29"/>
      <c r="Q20" s="29"/>
      <c r="S20" s="23"/>
      <c r="T20" s="23"/>
      <c r="Y20" s="29"/>
      <c r="Z20" s="29"/>
      <c r="AB20" s="23"/>
      <c r="AC20" s="23"/>
      <c r="AH20" s="29"/>
      <c r="AI20" s="29"/>
      <c r="AK20" s="23"/>
      <c r="AL20" s="23"/>
      <c r="AQ20" s="29"/>
      <c r="AR20" s="29"/>
      <c r="AT20" s="23"/>
      <c r="AU20" s="23"/>
      <c r="AZ20" s="29"/>
      <c r="BA20" s="29"/>
      <c r="BC20" s="23"/>
      <c r="BD20" s="23"/>
    </row>
    <row r="21" spans="1:56" ht="15.75" customHeight="1" thickTop="1" thickBot="1" x14ac:dyDescent="0.3">
      <c r="A21" s="208" t="s">
        <v>26</v>
      </c>
      <c r="B21" s="44">
        <f>[13]l_f0_mode_phon_b1!C11</f>
        <v>-2.52097439543846</v>
      </c>
      <c r="C21" s="44">
        <f>[13]l_f0_mode_phon_b1!D11</f>
        <v>-3.73388203153789</v>
      </c>
      <c r="D21" s="44">
        <f>[13]l_f0_mode_phon_b1!E11</f>
        <v>-1.30806675933903</v>
      </c>
      <c r="E21" s="39">
        <f>[13]l_f0_mode_phon_b1!F11</f>
        <v>0.61762158819859703</v>
      </c>
      <c r="F21" s="39">
        <f>[13]l_f0_mode_phon_b1!G11</f>
        <v>-4.0817459162840004</v>
      </c>
      <c r="G21" s="188">
        <f>[13]l_f0_mode_phon_b1!H11</f>
        <v>613.82765647556096</v>
      </c>
      <c r="H21" s="190">
        <f>[13]l_f0_mode_phon_b1!I11</f>
        <v>5.0607911358377997E-5</v>
      </c>
      <c r="I21" s="260" t="str">
        <f>IF(H21&lt;0.001, "p &lt; .001", _xlfn.CONCAT("p = ", REPLACE(ROUND(H21, 3),1,2,".")))</f>
        <v>p &lt; .001</v>
      </c>
      <c r="J21" s="193">
        <f>B21-C21</f>
        <v>1.21290763609943</v>
      </c>
      <c r="K21" s="23"/>
      <c r="P21" s="29"/>
      <c r="Q21" s="29"/>
      <c r="S21" s="23"/>
      <c r="T21" s="23"/>
      <c r="Y21" s="29"/>
      <c r="Z21" s="29"/>
      <c r="AB21" s="23"/>
      <c r="AC21" s="23"/>
      <c r="AH21" s="29"/>
      <c r="AI21" s="29"/>
      <c r="AK21" s="23"/>
      <c r="AL21" s="23"/>
      <c r="AQ21" s="29"/>
      <c r="AR21" s="29"/>
      <c r="AT21" s="23"/>
      <c r="AU21" s="23"/>
      <c r="AZ21" s="29"/>
      <c r="BA21" s="29"/>
      <c r="BC21" s="23"/>
      <c r="BD21" s="23"/>
    </row>
    <row r="22" spans="1:56" ht="15.75" customHeight="1" thickBot="1" x14ac:dyDescent="0.3">
      <c r="A22" s="211" t="s">
        <v>27</v>
      </c>
      <c r="B22" s="43">
        <f>[14]h_f0_mode_phon_b1!C11</f>
        <v>3.4684079732185902</v>
      </c>
      <c r="C22" s="43">
        <f>[14]h_f0_mode_phon_b1!D11</f>
        <v>1.7518730933751201</v>
      </c>
      <c r="D22" s="43">
        <f>[14]h_f0_mode_phon_b1!E11</f>
        <v>5.1849428530620596</v>
      </c>
      <c r="E22" s="42">
        <f>[14]h_f0_mode_phon_b1!F11</f>
        <v>0.874086351275141</v>
      </c>
      <c r="F22" s="42">
        <f>[14]h_f0_mode_phon_b1!G11</f>
        <v>3.96803813279864</v>
      </c>
      <c r="G22" s="194">
        <f>[14]h_f0_mode_phon_b1!H11</f>
        <v>618.85404423062698</v>
      </c>
      <c r="H22" s="190">
        <f>[14]h_f0_mode_phon_b1!I11</f>
        <v>8.0956265869833096E-5</v>
      </c>
      <c r="I22" s="260" t="str">
        <f t="shared" ref="I22:I24" si="6">IF(H22&lt;0.001, "p &lt; .001", _xlfn.CONCAT("p = ", REPLACE(ROUND(H22, 3),1,2,".")))</f>
        <v>p &lt; .001</v>
      </c>
      <c r="J22" s="193">
        <f>B22-C22</f>
        <v>1.7165348798434701</v>
      </c>
      <c r="K22" s="23"/>
      <c r="P22" s="29"/>
      <c r="Q22" s="29"/>
      <c r="S22" s="23"/>
      <c r="T22" s="23"/>
      <c r="Y22" s="29"/>
      <c r="Z22" s="29"/>
      <c r="AB22" s="23"/>
      <c r="AC22" s="23"/>
      <c r="AH22" s="29"/>
      <c r="AI22" s="29"/>
      <c r="AK22" s="23"/>
      <c r="AL22" s="23"/>
      <c r="AQ22" s="29"/>
      <c r="AR22" s="29"/>
      <c r="AT22" s="23"/>
      <c r="AU22" s="23"/>
      <c r="AZ22" s="29"/>
      <c r="BA22" s="29"/>
      <c r="BC22" s="23"/>
      <c r="BD22" s="23"/>
    </row>
    <row r="23" spans="1:56" ht="15.75" customHeight="1" thickBot="1" x14ac:dyDescent="0.3">
      <c r="A23" s="214" t="s">
        <v>28</v>
      </c>
      <c r="B23" s="40">
        <f>[15]l_t_mode_phon_b1!C11</f>
        <v>-3.5996822962942501</v>
      </c>
      <c r="C23" s="40">
        <f>[15]l_t_mode_phon_b1!D11</f>
        <v>-20.890269445218198</v>
      </c>
      <c r="D23" s="40">
        <f>[15]l_t_mode_phon_b1!E11</f>
        <v>13.6909048526296</v>
      </c>
      <c r="E23" s="39">
        <f>[15]l_t_mode_phon_b1!F11</f>
        <v>8.8044275252230193</v>
      </c>
      <c r="F23" s="39">
        <f>[15]l_t_mode_phon_b1!G11</f>
        <v>-0.40884910302025201</v>
      </c>
      <c r="G23" s="188">
        <f>[15]l_t_mode_phon_b1!H11</f>
        <v>611.43612498791595</v>
      </c>
      <c r="H23" s="190">
        <f>[15]l_t_mode_phon_b1!I11</f>
        <v>0.68279356238886901</v>
      </c>
      <c r="I23" s="260" t="str">
        <f t="shared" si="6"/>
        <v>p = .683</v>
      </c>
      <c r="J23" s="193">
        <f>B23-C23</f>
        <v>17.290587148923947</v>
      </c>
      <c r="K23" s="23"/>
      <c r="P23" s="29"/>
      <c r="Q23" s="29"/>
      <c r="S23" s="23"/>
      <c r="T23" s="23"/>
      <c r="Y23" s="29"/>
      <c r="Z23" s="29"/>
      <c r="AB23" s="23"/>
      <c r="AC23" s="23"/>
      <c r="AH23" s="29"/>
      <c r="AI23" s="29"/>
      <c r="AK23" s="23"/>
      <c r="AL23" s="23"/>
      <c r="AQ23" s="29"/>
      <c r="AR23" s="29"/>
      <c r="AT23" s="23"/>
      <c r="AU23" s="23"/>
      <c r="AZ23" s="29"/>
      <c r="BA23" s="29"/>
      <c r="BC23" s="23"/>
      <c r="BD23" s="23"/>
    </row>
    <row r="24" spans="1:56" ht="15.75" customHeight="1" x14ac:dyDescent="0.25">
      <c r="A24" s="214" t="s">
        <v>29</v>
      </c>
      <c r="B24" s="269">
        <f>[16]h_t_mode_phon_b1!C11</f>
        <v>69.265765002492302</v>
      </c>
      <c r="C24" s="269">
        <f>[16]h_t_mode_phon_b1!D11</f>
        <v>43.693834425145198</v>
      </c>
      <c r="D24" s="269">
        <f>[16]h_t_mode_phon_b1!E11</f>
        <v>94.837695579839405</v>
      </c>
      <c r="E24" s="271">
        <f>[16]h_t_mode_phon_b1!F11</f>
        <v>13.0214500518526</v>
      </c>
      <c r="F24" s="271">
        <f>[16]h_t_mode_phon_b1!G11</f>
        <v>5.3193588061751296</v>
      </c>
      <c r="G24" s="243">
        <f>[16]h_t_mode_phon_b1!H11</f>
        <v>614.612112667117</v>
      </c>
      <c r="H24" s="203">
        <f>[16]h_t_mode_phon_b1!I11</f>
        <v>1.4603835236322801E-7</v>
      </c>
      <c r="I24" s="272" t="str">
        <f t="shared" si="6"/>
        <v>p &lt; .001</v>
      </c>
      <c r="J24" s="193">
        <f>B24-C24</f>
        <v>25.571930577347104</v>
      </c>
      <c r="K24" s="23"/>
      <c r="P24" s="29"/>
      <c r="Q24" s="29"/>
      <c r="S24" s="23"/>
      <c r="T24" s="23"/>
      <c r="Y24" s="29"/>
      <c r="Z24" s="29"/>
      <c r="AB24" s="23"/>
      <c r="AC24" s="23"/>
      <c r="AH24" s="29"/>
      <c r="AI24" s="29"/>
      <c r="AK24" s="23"/>
      <c r="AL24" s="23"/>
      <c r="AQ24" s="29"/>
      <c r="AR24" s="29"/>
      <c r="AT24" s="23"/>
      <c r="AU24" s="23"/>
      <c r="AZ24" s="29"/>
      <c r="BA24" s="29"/>
      <c r="BC24" s="23"/>
      <c r="BD24" s="23"/>
    </row>
    <row r="25" spans="1:56" ht="15.75" customHeight="1" thickBot="1" x14ac:dyDescent="0.3">
      <c r="A25" s="269"/>
      <c r="B25" s="269"/>
      <c r="C25" s="269"/>
      <c r="D25" s="269"/>
      <c r="E25" s="271"/>
      <c r="F25" s="271"/>
      <c r="G25" s="243"/>
      <c r="H25" s="203"/>
      <c r="I25" s="272"/>
      <c r="J25" s="193"/>
      <c r="K25" s="23"/>
      <c r="P25" s="29"/>
      <c r="Q25" s="29"/>
      <c r="S25" s="23"/>
      <c r="T25" s="23"/>
      <c r="Y25" s="29"/>
      <c r="Z25" s="29"/>
      <c r="AB25" s="23"/>
      <c r="AC25" s="23"/>
      <c r="AH25" s="29"/>
      <c r="AI25" s="29"/>
      <c r="AK25" s="23"/>
      <c r="AL25" s="23"/>
      <c r="AQ25" s="29"/>
      <c r="AR25" s="29"/>
      <c r="AT25" s="23"/>
      <c r="AU25" s="23"/>
      <c r="AZ25" s="29"/>
      <c r="BA25" s="29"/>
      <c r="BC25" s="23"/>
      <c r="BD25" s="23"/>
    </row>
    <row r="26" spans="1:56" ht="15.75" customHeight="1" thickTop="1" thickBot="1" x14ac:dyDescent="0.3">
      <c r="A26" s="25" t="s">
        <v>107</v>
      </c>
      <c r="B26" s="25" t="str">
        <f t="shared" ref="B26:H26" si="7">B20</f>
        <v>est.</v>
      </c>
      <c r="C26" s="25" t="str">
        <f t="shared" si="7"/>
        <v>2.5% CI</v>
      </c>
      <c r="D26" s="25" t="str">
        <f t="shared" si="7"/>
        <v>97.5% CI</v>
      </c>
      <c r="E26" s="25" t="str">
        <f t="shared" si="7"/>
        <v>std.error</v>
      </c>
      <c r="F26" s="25" t="str">
        <f t="shared" si="7"/>
        <v>t</v>
      </c>
      <c r="G26" s="185" t="str">
        <f t="shared" si="7"/>
        <v>df</v>
      </c>
      <c r="H26" s="186" t="str">
        <f t="shared" si="7"/>
        <v>p. val.</v>
      </c>
      <c r="I26" s="199" t="s">
        <v>19</v>
      </c>
      <c r="J26" s="187" t="s">
        <v>46</v>
      </c>
      <c r="K26" s="23"/>
      <c r="P26" s="29"/>
      <c r="Q26" s="29"/>
      <c r="S26" s="23"/>
      <c r="T26" s="23"/>
      <c r="Y26" s="29"/>
      <c r="Z26" s="29"/>
      <c r="AB26" s="23"/>
      <c r="AC26" s="23"/>
      <c r="AH26" s="29"/>
      <c r="AI26" s="29"/>
      <c r="AK26" s="23"/>
      <c r="AL26" s="23"/>
      <c r="AQ26" s="29"/>
      <c r="AR26" s="29"/>
      <c r="AT26" s="23"/>
      <c r="AU26" s="23"/>
      <c r="AZ26" s="29"/>
      <c r="BA26" s="29"/>
      <c r="BC26" s="23"/>
      <c r="BD26" s="23"/>
    </row>
    <row r="27" spans="1:56" ht="15.75" customHeight="1" thickTop="1" thickBot="1" x14ac:dyDescent="0.3">
      <c r="A27" s="208" t="s">
        <v>26</v>
      </c>
      <c r="B27" s="44">
        <f>[13]l_f0_mode_phon_b1!C12</f>
        <v>-0.62268697229144898</v>
      </c>
      <c r="C27" s="44">
        <f>[13]l_f0_mode_phon_b1!D12</f>
        <v>-1.72971746881786</v>
      </c>
      <c r="D27" s="44">
        <f>[13]l_f0_mode_phon_b1!E12</f>
        <v>0.48434352423496801</v>
      </c>
      <c r="E27" s="39">
        <f>[13]l_f0_mode_phon_b1!F12</f>
        <v>0.56370694502682495</v>
      </c>
      <c r="F27" s="39">
        <f>[13]l_f0_mode_phon_b1!G12</f>
        <v>-1.1046288816998999</v>
      </c>
      <c r="G27" s="188">
        <f>[13]l_f0_mode_phon_b1!H12</f>
        <v>613.15796455245004</v>
      </c>
      <c r="H27" s="190">
        <f>[13]l_f0_mode_phon_b1!I12</f>
        <v>0.26975370829766498</v>
      </c>
      <c r="I27" s="260" t="str">
        <f>IF(H27&lt;0.001, "p &lt; .001", _xlfn.CONCAT("p = ", REPLACE(ROUND(H27, 3),1,2,".")))</f>
        <v>p = .27</v>
      </c>
      <c r="J27" s="193">
        <f>B27-C27</f>
        <v>1.1070304965264111</v>
      </c>
      <c r="K27" s="23"/>
      <c r="P27" s="29"/>
      <c r="Q27" s="29"/>
      <c r="S27" s="23"/>
      <c r="T27" s="23"/>
      <c r="Y27" s="29"/>
      <c r="Z27" s="29"/>
      <c r="AB27" s="23"/>
      <c r="AC27" s="23"/>
      <c r="AH27" s="29"/>
      <c r="AI27" s="29"/>
      <c r="AK27" s="23"/>
      <c r="AL27" s="23"/>
      <c r="AQ27" s="29"/>
      <c r="AR27" s="29"/>
      <c r="AT27" s="23"/>
      <c r="AU27" s="23"/>
      <c r="AZ27" s="29"/>
      <c r="BA27" s="29"/>
      <c r="BC27" s="23"/>
      <c r="BD27" s="23"/>
    </row>
    <row r="28" spans="1:56" ht="15.75" customHeight="1" thickBot="1" x14ac:dyDescent="0.3">
      <c r="A28" s="211" t="s">
        <v>27</v>
      </c>
      <c r="B28" s="43">
        <f>[14]h_f0_mode_phon_b1!C12</f>
        <v>3.0928949915396902</v>
      </c>
      <c r="C28" s="43">
        <f>[14]h_f0_mode_phon_b1!D12</f>
        <v>1.5214235222457599</v>
      </c>
      <c r="D28" s="43">
        <f>[14]h_f0_mode_phon_b1!E12</f>
        <v>4.6643664608336204</v>
      </c>
      <c r="E28" s="42">
        <f>[14]h_f0_mode_phon_b1!F12</f>
        <v>0.80021660450259302</v>
      </c>
      <c r="F28" s="42">
        <f>[14]h_f0_mode_phon_b1!G12</f>
        <v>3.8650722493595402</v>
      </c>
      <c r="G28" s="194">
        <f>[14]h_f0_mode_phon_b1!H12</f>
        <v>618.38314013745605</v>
      </c>
      <c r="H28" s="190">
        <f>[14]h_f0_mode_phon_b1!I12</f>
        <v>1.2279395095364599E-4</v>
      </c>
      <c r="I28" s="260" t="str">
        <f t="shared" ref="I28:I30" si="8">IF(H28&lt;0.001, "p &lt; .001", _xlfn.CONCAT("p = ", REPLACE(ROUND(H28, 3),1,2,".")))</f>
        <v>p &lt; .001</v>
      </c>
      <c r="J28" s="193">
        <f>B28-C28</f>
        <v>1.5714714692939302</v>
      </c>
      <c r="K28" s="23"/>
      <c r="P28" s="29"/>
      <c r="Q28" s="29"/>
      <c r="S28" s="23"/>
      <c r="T28" s="23"/>
      <c r="Y28" s="29"/>
      <c r="Z28" s="29"/>
      <c r="AB28" s="23"/>
      <c r="AC28" s="23"/>
      <c r="AH28" s="29"/>
      <c r="AI28" s="29"/>
      <c r="AK28" s="23"/>
      <c r="AL28" s="23"/>
      <c r="AQ28" s="29"/>
      <c r="AR28" s="29"/>
      <c r="AT28" s="23"/>
      <c r="AU28" s="23"/>
      <c r="AZ28" s="29"/>
      <c r="BA28" s="29"/>
      <c r="BC28" s="23"/>
      <c r="BD28" s="23"/>
    </row>
    <row r="29" spans="1:56" ht="15.75" customHeight="1" thickBot="1" x14ac:dyDescent="0.3">
      <c r="A29" s="214" t="s">
        <v>28</v>
      </c>
      <c r="B29" s="40">
        <f>[15]l_t_mode_phon_b1!C12</f>
        <v>-5.7940204712960597</v>
      </c>
      <c r="C29" s="40">
        <f>[15]l_t_mode_phon_b1!D12</f>
        <v>-21.675481594072501</v>
      </c>
      <c r="D29" s="40">
        <f>[15]l_t_mode_phon_b1!E12</f>
        <v>10.0874406514803</v>
      </c>
      <c r="E29" s="39">
        <f>[15]l_t_mode_phon_b1!F12</f>
        <v>8.0869322331893603</v>
      </c>
      <c r="F29" s="39">
        <f>[15]l_t_mode_phon_b1!G12</f>
        <v>-0.71646704884170698</v>
      </c>
      <c r="G29" s="188">
        <f>[15]l_t_mode_phon_b1!H12</f>
        <v>612.835151193211</v>
      </c>
      <c r="H29" s="190">
        <f>[15]l_t_mode_phon_b1!I12</f>
        <v>0.47397594297450202</v>
      </c>
      <c r="I29" s="260" t="str">
        <f t="shared" si="8"/>
        <v>p = .474</v>
      </c>
      <c r="J29" s="193">
        <f>B29-C29</f>
        <v>15.881461122776441</v>
      </c>
      <c r="K29" s="23"/>
      <c r="P29" s="29"/>
      <c r="Q29" s="29"/>
      <c r="S29" s="23"/>
      <c r="T29" s="23"/>
      <c r="Y29" s="29"/>
      <c r="Z29" s="29"/>
      <c r="AB29" s="23"/>
      <c r="AC29" s="23"/>
      <c r="AH29" s="29"/>
      <c r="AI29" s="29"/>
      <c r="AK29" s="23"/>
      <c r="AL29" s="23"/>
      <c r="AQ29" s="29"/>
      <c r="AR29" s="29"/>
      <c r="AT29" s="23"/>
      <c r="AU29" s="23"/>
      <c r="AZ29" s="29"/>
      <c r="BA29" s="29"/>
      <c r="BC29" s="23"/>
      <c r="BD29" s="23"/>
    </row>
    <row r="30" spans="1:56" ht="15.75" customHeight="1" x14ac:dyDescent="0.25">
      <c r="A30" s="214" t="s">
        <v>29</v>
      </c>
      <c r="B30" s="37">
        <f>[16]h_t_mode_phon_b1!C12</f>
        <v>68.229807389997106</v>
      </c>
      <c r="C30" s="37">
        <f>[16]h_t_mode_phon_b1!D12</f>
        <v>44.729366092968</v>
      </c>
      <c r="D30" s="37">
        <f>[16]h_t_mode_phon_b1!E12</f>
        <v>91.730248687026105</v>
      </c>
      <c r="E30" s="36">
        <f>[16]h_t_mode_phon_b1!F12</f>
        <v>11.966617015005401</v>
      </c>
      <c r="F30" s="36">
        <f>[16]h_t_mode_phon_b1!G12</f>
        <v>5.7016788708488599</v>
      </c>
      <c r="G30" s="201">
        <f>[16]h_t_mode_phon_b1!H12</f>
        <v>614.28349966021506</v>
      </c>
      <c r="H30" s="203">
        <f>[16]h_t_mode_phon_b1!I12</f>
        <v>1.84382070057621E-8</v>
      </c>
      <c r="I30" s="272" t="str">
        <f t="shared" si="8"/>
        <v>p &lt; .001</v>
      </c>
      <c r="J30" s="193">
        <f>B30-C30</f>
        <v>23.500441297029106</v>
      </c>
      <c r="K30" s="23"/>
      <c r="P30" s="29"/>
      <c r="Q30" s="29"/>
      <c r="S30" s="23"/>
      <c r="T30" s="23"/>
      <c r="Y30" s="29"/>
      <c r="Z30" s="29"/>
      <c r="AB30" s="23"/>
      <c r="AC30" s="23"/>
      <c r="AH30" s="29"/>
      <c r="AI30" s="29"/>
      <c r="AK30" s="23"/>
      <c r="AL30" s="23"/>
      <c r="AQ30" s="29"/>
      <c r="AR30" s="29"/>
      <c r="AT30" s="23"/>
      <c r="AU30" s="23"/>
      <c r="AZ30" s="29"/>
      <c r="BA30" s="29"/>
      <c r="BC30" s="23"/>
      <c r="BD30" s="23"/>
    </row>
    <row r="31" spans="1:56" ht="15.75" customHeight="1" thickBot="1" x14ac:dyDescent="0.3">
      <c r="A31" s="20"/>
      <c r="B31" s="269"/>
      <c r="C31" s="269"/>
      <c r="D31" s="269"/>
      <c r="E31" s="271"/>
      <c r="F31" s="271"/>
      <c r="G31" s="243"/>
      <c r="H31" s="203"/>
      <c r="I31" s="272"/>
      <c r="J31" s="193"/>
      <c r="K31" s="23"/>
      <c r="P31" s="29"/>
      <c r="Q31" s="29"/>
      <c r="S31" s="23"/>
      <c r="T31" s="23"/>
      <c r="Y31" s="29"/>
      <c r="Z31" s="29"/>
      <c r="AB31" s="23"/>
      <c r="AC31" s="23"/>
      <c r="AH31" s="29"/>
      <c r="AI31" s="29"/>
      <c r="AK31" s="23"/>
      <c r="AL31" s="23"/>
      <c r="AQ31" s="29"/>
      <c r="AR31" s="29"/>
      <c r="AT31" s="23"/>
      <c r="AU31" s="23"/>
      <c r="AZ31" s="29"/>
      <c r="BA31" s="29"/>
      <c r="BC31" s="23"/>
      <c r="BD31" s="23"/>
    </row>
    <row r="32" spans="1:56" ht="15.75" customHeight="1" thickTop="1" thickBot="1" x14ac:dyDescent="0.3">
      <c r="A32" s="25" t="s">
        <v>108</v>
      </c>
      <c r="B32" s="25" t="str">
        <f t="shared" ref="B32:H32" si="9">B26</f>
        <v>est.</v>
      </c>
      <c r="C32" s="25" t="str">
        <f t="shared" si="9"/>
        <v>2.5% CI</v>
      </c>
      <c r="D32" s="25" t="str">
        <f t="shared" si="9"/>
        <v>97.5% CI</v>
      </c>
      <c r="E32" s="25" t="str">
        <f t="shared" si="9"/>
        <v>std.error</v>
      </c>
      <c r="F32" s="25" t="str">
        <f t="shared" si="9"/>
        <v>t</v>
      </c>
      <c r="G32" s="185" t="str">
        <f t="shared" si="9"/>
        <v>df</v>
      </c>
      <c r="H32" s="186" t="str">
        <f t="shared" si="9"/>
        <v>p. val.</v>
      </c>
      <c r="I32" s="199" t="s">
        <v>19</v>
      </c>
      <c r="J32" s="187" t="s">
        <v>46</v>
      </c>
      <c r="K32" s="23"/>
      <c r="P32" s="29"/>
      <c r="Q32" s="29"/>
      <c r="S32" s="23"/>
      <c r="T32" s="23"/>
      <c r="Y32" s="29"/>
      <c r="Z32" s="29"/>
      <c r="AB32" s="23"/>
      <c r="AC32" s="23"/>
      <c r="AH32" s="29"/>
      <c r="AI32" s="29"/>
      <c r="AK32" s="23"/>
      <c r="AL32" s="23"/>
      <c r="AQ32" s="29"/>
      <c r="AR32" s="29"/>
      <c r="AT32" s="23"/>
      <c r="AU32" s="23"/>
      <c r="AZ32" s="29"/>
      <c r="BA32" s="29"/>
      <c r="BC32" s="23"/>
      <c r="BD32" s="23"/>
    </row>
    <row r="33" spans="1:56" ht="15.75" customHeight="1" thickTop="1" thickBot="1" x14ac:dyDescent="0.3">
      <c r="A33" s="208" t="s">
        <v>26</v>
      </c>
      <c r="B33" s="44">
        <f>[13]l_f0_mode_phon_b1!C13</f>
        <v>1.8982874232062901</v>
      </c>
      <c r="C33" s="44">
        <f>[13]l_f0_mode_phon_b1!D13</f>
        <v>1.34877225044108</v>
      </c>
      <c r="D33" s="44">
        <f>[13]l_f0_mode_phon_b1!E13</f>
        <v>2.4478025959715102</v>
      </c>
      <c r="E33" s="39">
        <f>[13]l_f0_mode_phon_b1!F13</f>
        <v>0.27981480125922897</v>
      </c>
      <c r="F33" s="39">
        <f>[13]l_f0_mode_phon_b1!G13</f>
        <v>6.7840850972270896</v>
      </c>
      <c r="G33" s="188">
        <f>[13]l_f0_mode_phon_b1!H13</f>
        <v>611.16187720371204</v>
      </c>
      <c r="H33" s="190">
        <f>[13]l_f0_mode_phon_b1!I13</f>
        <v>2.76415531851887E-11</v>
      </c>
      <c r="I33" s="260" t="str">
        <f>IF(H33&lt;0.001, "p &lt; .001", _xlfn.CONCAT("p = ", REPLACE(ROUND(H33, 3),1,2,".")))</f>
        <v>p &lt; .001</v>
      </c>
      <c r="J33" s="193">
        <f>B33-C33</f>
        <v>0.54951517276521011</v>
      </c>
      <c r="K33" s="23"/>
      <c r="P33" s="29"/>
      <c r="Q33" s="29"/>
      <c r="S33" s="23"/>
      <c r="T33" s="23"/>
      <c r="Y33" s="29"/>
      <c r="Z33" s="29"/>
      <c r="AB33" s="23"/>
      <c r="AC33" s="23"/>
      <c r="AH33" s="29"/>
      <c r="AI33" s="29"/>
      <c r="AK33" s="23"/>
      <c r="AL33" s="23"/>
      <c r="AQ33" s="29"/>
      <c r="AR33" s="29"/>
      <c r="AT33" s="23"/>
      <c r="AU33" s="23"/>
      <c r="AZ33" s="29"/>
      <c r="BA33" s="29"/>
      <c r="BC33" s="23"/>
      <c r="BD33" s="23"/>
    </row>
    <row r="34" spans="1:56" ht="15.75" customHeight="1" thickBot="1" x14ac:dyDescent="0.3">
      <c r="A34" s="211" t="s">
        <v>27</v>
      </c>
      <c r="B34" s="43">
        <f>[14]h_f0_mode_phon_b1!C13</f>
        <v>-0.37551298159564001</v>
      </c>
      <c r="C34" s="43">
        <f>[14]h_f0_mode_phon_b1!D13</f>
        <v>-1.14627454170468</v>
      </c>
      <c r="D34" s="43">
        <f>[14]h_f0_mode_phon_b1!E13</f>
        <v>0.39524857851340001</v>
      </c>
      <c r="E34" s="42">
        <f>[14]h_f0_mode_phon_b1!F13</f>
        <v>0.39248097301754398</v>
      </c>
      <c r="F34" s="42">
        <f>[14]h_f0_mode_phon_b1!G13</f>
        <v>-0.95676735284401804</v>
      </c>
      <c r="G34" s="194">
        <f>[14]h_f0_mode_phon_b1!H13</f>
        <v>616.57487825810495</v>
      </c>
      <c r="H34" s="190">
        <f>[14]h_f0_mode_phon_b1!I13</f>
        <v>0.33905967791852198</v>
      </c>
      <c r="I34" s="260" t="str">
        <f t="shared" ref="I34:I36" si="10">IF(H34&lt;0.001, "p &lt; .001", _xlfn.CONCAT("p = ", REPLACE(ROUND(H34, 3),1,2,".")))</f>
        <v>p = .339</v>
      </c>
      <c r="J34" s="193">
        <f t="shared" ref="J34:J36" si="11">B34-C34</f>
        <v>0.77076156010904007</v>
      </c>
      <c r="K34" s="23"/>
      <c r="P34" s="29"/>
      <c r="Q34" s="29"/>
      <c r="S34" s="23"/>
      <c r="T34" s="23"/>
      <c r="Y34" s="29"/>
      <c r="Z34" s="29"/>
      <c r="AB34" s="23"/>
      <c r="AC34" s="23"/>
      <c r="AH34" s="29"/>
      <c r="AI34" s="29"/>
      <c r="AK34" s="23"/>
      <c r="AL34" s="23"/>
      <c r="AQ34" s="29"/>
      <c r="AR34" s="29"/>
      <c r="AT34" s="23"/>
      <c r="AU34" s="23"/>
      <c r="AZ34" s="29"/>
      <c r="BA34" s="29"/>
      <c r="BC34" s="23"/>
      <c r="BD34" s="23"/>
    </row>
    <row r="35" spans="1:56" ht="15.75" customHeight="1" thickBot="1" x14ac:dyDescent="0.3">
      <c r="A35" s="214" t="s">
        <v>28</v>
      </c>
      <c r="B35" s="40">
        <f>[15]l_t_mode_phon_b1!C13</f>
        <v>-2.1943427470129699</v>
      </c>
      <c r="C35" s="40">
        <f>[15]l_t_mode_phon_b1!D13</f>
        <v>-9.9871565105474307</v>
      </c>
      <c r="D35" s="40">
        <f>[15]l_t_mode_phon_b1!E13</f>
        <v>5.5984710165214899</v>
      </c>
      <c r="E35" s="39">
        <f>[15]l_t_mode_phon_b1!F13</f>
        <v>3.96814912724953</v>
      </c>
      <c r="F35" s="39">
        <f>[15]l_t_mode_phon_b1!G13</f>
        <v>-0.55298898217919201</v>
      </c>
      <c r="G35" s="188">
        <f>[15]l_t_mode_phon_b1!H13</f>
        <v>613.07743630076504</v>
      </c>
      <c r="H35" s="190">
        <f>[15]l_t_mode_phon_b1!I13</f>
        <v>0.58047253053764503</v>
      </c>
      <c r="I35" s="260" t="str">
        <f t="shared" si="10"/>
        <v>p = .58</v>
      </c>
      <c r="J35" s="193">
        <f t="shared" si="11"/>
        <v>7.7928137635344612</v>
      </c>
      <c r="K35" s="23"/>
      <c r="P35" s="29"/>
      <c r="Q35" s="29"/>
      <c r="S35" s="23"/>
      <c r="T35" s="23"/>
      <c r="Y35" s="29"/>
      <c r="Z35" s="29"/>
      <c r="AB35" s="23"/>
      <c r="AC35" s="23"/>
      <c r="AH35" s="29"/>
      <c r="AI35" s="29"/>
      <c r="AK35" s="23"/>
      <c r="AL35" s="23"/>
      <c r="AQ35" s="29"/>
      <c r="AR35" s="29"/>
      <c r="AT35" s="23"/>
      <c r="AU35" s="23"/>
      <c r="AZ35" s="29"/>
      <c r="BA35" s="29"/>
      <c r="BC35" s="23"/>
      <c r="BD35" s="23"/>
    </row>
    <row r="36" spans="1:56" ht="15.75" customHeight="1" x14ac:dyDescent="0.25">
      <c r="A36" s="214" t="s">
        <v>29</v>
      </c>
      <c r="B36" s="37">
        <f>[16]h_t_mode_phon_b1!C13</f>
        <v>-1.0359576147043501</v>
      </c>
      <c r="C36" s="37">
        <f>[16]h_t_mode_phon_b1!D13</f>
        <v>-12.53941609016</v>
      </c>
      <c r="D36" s="37">
        <f>[16]h_t_mode_phon_b1!E13</f>
        <v>10.467500860751301</v>
      </c>
      <c r="E36" s="36">
        <f>[16]h_t_mode_phon_b1!F13</f>
        <v>5.8576317122628199</v>
      </c>
      <c r="F36" s="36">
        <f>[16]h_t_mode_phon_b1!G13</f>
        <v>-0.17685605131773699</v>
      </c>
      <c r="G36" s="201">
        <f>[16]h_t_mode_phon_b1!H13</f>
        <v>613.03886679244897</v>
      </c>
      <c r="H36" s="203">
        <f>[16]h_t_mode_phon_b1!I13</f>
        <v>0.85967987273628799</v>
      </c>
      <c r="I36" s="272" t="str">
        <f t="shared" si="10"/>
        <v>p = .86</v>
      </c>
      <c r="J36" s="193">
        <f t="shared" si="11"/>
        <v>11.50345847545565</v>
      </c>
      <c r="K36" s="23"/>
      <c r="P36" s="29"/>
      <c r="Q36" s="29"/>
      <c r="S36" s="23"/>
      <c r="T36" s="23"/>
      <c r="Y36" s="29"/>
      <c r="Z36" s="29"/>
      <c r="AB36" s="23"/>
      <c r="AC36" s="23"/>
      <c r="AH36" s="29"/>
      <c r="AI36" s="29"/>
      <c r="AK36" s="23"/>
      <c r="AL36" s="23"/>
      <c r="AQ36" s="29"/>
      <c r="AR36" s="29"/>
      <c r="AT36" s="23"/>
      <c r="AU36" s="23"/>
      <c r="AZ36" s="29"/>
      <c r="BA36" s="29"/>
      <c r="BC36" s="23"/>
      <c r="BD36" s="23"/>
    </row>
  </sheetData>
  <mergeCells count="1">
    <mergeCell ref="A1:I1"/>
  </mergeCells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B5:AA48"/>
  <sheetViews>
    <sheetView showGridLines="0" tabSelected="1" zoomScaleNormal="100" workbookViewId="0">
      <selection activeCell="A14" sqref="A14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3" spans="2:14" x14ac:dyDescent="0.3">
      <c r="F33" t="s">
        <v>17</v>
      </c>
    </row>
    <row r="38" spans="2:14" x14ac:dyDescent="0.3">
      <c r="B38" t="s">
        <v>86</v>
      </c>
    </row>
    <row r="48" spans="2:14" x14ac:dyDescent="0.3">
      <c r="N48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mode b0</vt:lpstr>
      <vt:lpstr>mode b1</vt:lpstr>
      <vt:lpstr>gg mode</vt:lpstr>
      <vt:lpstr>mode+ b0</vt:lpstr>
      <vt:lpstr>mode+ b1</vt:lpstr>
      <vt:lpstr>gg mode+</vt:lpstr>
      <vt:lpstr>PA b0</vt:lpstr>
      <vt:lpstr>PA b1</vt:lpstr>
      <vt:lpstr>gg PA</vt:lpstr>
      <vt:lpstr>comps</vt:lpstr>
      <vt:lpstr>Utt Mode b0</vt:lpstr>
      <vt:lpstr>Utt Mode+ b0</vt:lpstr>
      <vt:lpstr>Utt Mode b1</vt:lpstr>
      <vt:lpstr>Utt Mode+ b1</vt:lpstr>
      <vt:lpstr>Utt mean bs</vt:lpstr>
      <vt:lpstr>gg Utt</vt:lpstr>
      <vt:lpstr>gg Utt+</vt:lpstr>
      <vt:lpstr>leg</vt:lpstr>
      <vt:lpstr>'mode b1'!Print_Area</vt:lpstr>
      <vt:lpstr>'mode+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2022-09-28T20:08:49Z</dcterms:modified>
</cp:coreProperties>
</file>