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"/>
    </mc:Choice>
  </mc:AlternateContent>
  <xr:revisionPtr revIDLastSave="0" documentId="13_ncr:1_{8676DE86-A55E-40E4-9013-4F00934C40F0}" xr6:coauthVersionLast="47" xr6:coauthVersionMax="47" xr10:uidLastSave="{00000000-0000-0000-0000-000000000000}"/>
  <bookViews>
    <workbookView xWindow="-108" yWindow="-108" windowWidth="23256" windowHeight="13176" tabRatio="835" activeTab="8" xr2:uid="{5F934F14-35FB-48F8-B9CC-AA2F647F3C27}"/>
  </bookViews>
  <sheets>
    <sheet name="mode only B0" sheetId="16" r:id="rId1"/>
    <sheet name="mode only B1" sheetId="15" r:id="rId2"/>
    <sheet name="mode RTH B0" sheetId="14" r:id="rId3"/>
    <sheet name="mode RTH B1" sheetId="2" r:id="rId4"/>
    <sheet name="PA B0" sheetId="13" r:id="rId5"/>
    <sheet name="PA B1" sheetId="10" r:id="rId6"/>
    <sheet name="mode only gr" sheetId="17" r:id="rId7"/>
    <sheet name="mode RTH gr" sheetId="7" r:id="rId8"/>
    <sheet name="comparisons" sheetId="20" r:id="rId9"/>
    <sheet name="PA gr" sheetId="12" r:id="rId10"/>
    <sheet name="Utt B0" sheetId="18" r:id="rId11"/>
    <sheet name="Utt B1" sheetId="19" r:id="rId12"/>
    <sheet name="legends" sheetId="11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_xlnm.Print_Area" localSheetId="1">'mode only B1'!$A$1:$BA$5</definedName>
    <definedName name="_xlnm.Print_Area" localSheetId="2">'mode RTH B0'!#REF!</definedName>
    <definedName name="_xlnm.Print_Area" localSheetId="3">'mode RTH B1'!$A$1:$BC$8</definedName>
    <definedName name="_xlnm.Print_Area" localSheetId="4">'PA B0'!$A$1:$AM$7</definedName>
    <definedName name="_xlnm.Print_Area" localSheetId="5">'PA B1'!$A$1:$BF$80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20" l="1"/>
  <c r="E42" i="20"/>
  <c r="D43" i="20"/>
  <c r="F43" i="20" s="1"/>
  <c r="E43" i="20"/>
  <c r="E55" i="20" s="1"/>
  <c r="D44" i="20"/>
  <c r="F44" i="20" s="1"/>
  <c r="E44" i="20"/>
  <c r="D45" i="20"/>
  <c r="D57" i="20" s="1"/>
  <c r="E45" i="20"/>
  <c r="E57" i="20" s="1"/>
  <c r="D48" i="20"/>
  <c r="E48" i="20"/>
  <c r="F48" i="20" s="1"/>
  <c r="D49" i="20"/>
  <c r="F49" i="20" s="1"/>
  <c r="E49" i="20"/>
  <c r="D50" i="20"/>
  <c r="D56" i="20" s="1"/>
  <c r="E50" i="20"/>
  <c r="D51" i="20"/>
  <c r="E51" i="20"/>
  <c r="F51" i="20" s="1"/>
  <c r="D54" i="20"/>
  <c r="D55" i="20"/>
  <c r="F53" i="20"/>
  <c r="E53" i="20"/>
  <c r="D53" i="20"/>
  <c r="C57" i="20"/>
  <c r="C56" i="20"/>
  <c r="C55" i="20"/>
  <c r="C54" i="20"/>
  <c r="K42" i="20"/>
  <c r="L42" i="20"/>
  <c r="K43" i="20"/>
  <c r="L43" i="20"/>
  <c r="K44" i="20"/>
  <c r="L44" i="20"/>
  <c r="K48" i="20"/>
  <c r="L48" i="20"/>
  <c r="K49" i="20"/>
  <c r="L49" i="20"/>
  <c r="K50" i="20"/>
  <c r="L50" i="20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K17" i="15" s="1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C102" i="14"/>
  <c r="C103" i="14"/>
  <c r="C104" i="14"/>
  <c r="C105" i="14"/>
  <c r="C106" i="14"/>
  <c r="C107" i="14"/>
  <c r="C108" i="14"/>
  <c r="C109" i="14"/>
  <c r="D102" i="14"/>
  <c r="D103" i="14"/>
  <c r="D104" i="14"/>
  <c r="D105" i="14"/>
  <c r="D106" i="14"/>
  <c r="D107" i="14"/>
  <c r="D108" i="14"/>
  <c r="D109" i="14"/>
  <c r="E102" i="14"/>
  <c r="E103" i="14"/>
  <c r="E104" i="14"/>
  <c r="E105" i="14"/>
  <c r="E106" i="14"/>
  <c r="E107" i="14"/>
  <c r="E108" i="14"/>
  <c r="E109" i="14"/>
  <c r="B102" i="14"/>
  <c r="B103" i="14"/>
  <c r="B104" i="14"/>
  <c r="B105" i="14"/>
  <c r="F105" i="14" s="1"/>
  <c r="B106" i="14"/>
  <c r="F106" i="14" s="1"/>
  <c r="B107" i="14"/>
  <c r="B108" i="14"/>
  <c r="B109" i="14"/>
  <c r="A102" i="14"/>
  <c r="A103" i="14"/>
  <c r="A104" i="14"/>
  <c r="A105" i="14"/>
  <c r="A106" i="14"/>
  <c r="A107" i="14"/>
  <c r="A108" i="14"/>
  <c r="A109" i="14"/>
  <c r="C16" i="15"/>
  <c r="D16" i="15"/>
  <c r="E16" i="15"/>
  <c r="F16" i="15"/>
  <c r="G16" i="15"/>
  <c r="H16" i="15"/>
  <c r="I16" i="15"/>
  <c r="J16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K18" i="15"/>
  <c r="C19" i="15"/>
  <c r="K19" i="15" s="1"/>
  <c r="D19" i="15"/>
  <c r="E19" i="15"/>
  <c r="F19" i="15"/>
  <c r="G19" i="15"/>
  <c r="H19" i="15"/>
  <c r="I19" i="15"/>
  <c r="J19" i="15"/>
  <c r="C20" i="15"/>
  <c r="D20" i="15"/>
  <c r="E20" i="15"/>
  <c r="F20" i="15"/>
  <c r="G20" i="15"/>
  <c r="H20" i="15"/>
  <c r="I20" i="15"/>
  <c r="J20" i="15"/>
  <c r="C21" i="15"/>
  <c r="D21" i="15"/>
  <c r="E21" i="15"/>
  <c r="F21" i="15"/>
  <c r="G21" i="15"/>
  <c r="H21" i="15"/>
  <c r="I21" i="15"/>
  <c r="J21" i="15"/>
  <c r="C22" i="15"/>
  <c r="D22" i="15"/>
  <c r="E22" i="15"/>
  <c r="F22" i="15"/>
  <c r="G22" i="15"/>
  <c r="H22" i="15"/>
  <c r="I22" i="15"/>
  <c r="J22" i="15"/>
  <c r="C23" i="15"/>
  <c r="K23" i="15" s="1"/>
  <c r="D23" i="15"/>
  <c r="E23" i="15"/>
  <c r="F23" i="15"/>
  <c r="G23" i="15"/>
  <c r="H23" i="15"/>
  <c r="I23" i="15"/>
  <c r="J23" i="15"/>
  <c r="C24" i="15"/>
  <c r="D24" i="15"/>
  <c r="E24" i="15"/>
  <c r="F24" i="15"/>
  <c r="G24" i="15"/>
  <c r="H24" i="15"/>
  <c r="I24" i="15"/>
  <c r="J24" i="15"/>
  <c r="C25" i="15"/>
  <c r="D25" i="15"/>
  <c r="E25" i="15"/>
  <c r="F25" i="15"/>
  <c r="G25" i="15"/>
  <c r="H25" i="15"/>
  <c r="I25" i="15"/>
  <c r="J25" i="15"/>
  <c r="C26" i="15"/>
  <c r="D26" i="15"/>
  <c r="E26" i="15"/>
  <c r="F26" i="15"/>
  <c r="G26" i="15"/>
  <c r="H26" i="15"/>
  <c r="I26" i="15"/>
  <c r="C27" i="15"/>
  <c r="D27" i="15"/>
  <c r="E27" i="15"/>
  <c r="F27" i="15"/>
  <c r="G27" i="15"/>
  <c r="H27" i="15"/>
  <c r="I27" i="15"/>
  <c r="J27" i="15"/>
  <c r="C28" i="15"/>
  <c r="D28" i="15"/>
  <c r="E28" i="15"/>
  <c r="F28" i="15"/>
  <c r="G28" i="15"/>
  <c r="H28" i="15"/>
  <c r="I28" i="15"/>
  <c r="J28" i="15"/>
  <c r="C29" i="15"/>
  <c r="D29" i="15"/>
  <c r="E29" i="15"/>
  <c r="F29" i="15"/>
  <c r="G29" i="15"/>
  <c r="H29" i="15"/>
  <c r="I29" i="15"/>
  <c r="J29" i="15"/>
  <c r="A6" i="16"/>
  <c r="C6" i="16"/>
  <c r="D6" i="16"/>
  <c r="E6" i="16"/>
  <c r="F6" i="16"/>
  <c r="G6" i="16"/>
  <c r="H6" i="16"/>
  <c r="I6" i="16"/>
  <c r="J6" i="16"/>
  <c r="K7" i="16"/>
  <c r="L7" i="16"/>
  <c r="K8" i="16"/>
  <c r="L8" i="16"/>
  <c r="K9" i="16"/>
  <c r="L9" i="16"/>
  <c r="K10" i="16"/>
  <c r="L10" i="16"/>
  <c r="A11" i="16"/>
  <c r="C11" i="16"/>
  <c r="D11" i="16"/>
  <c r="E11" i="16"/>
  <c r="F11" i="16"/>
  <c r="G11" i="16"/>
  <c r="H11" i="16"/>
  <c r="I11" i="16"/>
  <c r="J11" i="16"/>
  <c r="K12" i="16"/>
  <c r="L12" i="16"/>
  <c r="K13" i="16"/>
  <c r="L13" i="16"/>
  <c r="K14" i="16"/>
  <c r="L14" i="16"/>
  <c r="K15" i="16"/>
  <c r="L15" i="16"/>
  <c r="F42" i="20" l="1"/>
  <c r="F55" i="20"/>
  <c r="F45" i="20"/>
  <c r="F57" i="20"/>
  <c r="F50" i="20"/>
  <c r="E54" i="20"/>
  <c r="F56" i="20"/>
  <c r="E56" i="20"/>
  <c r="F54" i="20"/>
  <c r="F109" i="14"/>
  <c r="F104" i="14"/>
  <c r="F103" i="14"/>
  <c r="F102" i="14"/>
  <c r="K20" i="15"/>
  <c r="K29" i="15"/>
  <c r="K27" i="15"/>
  <c r="K22" i="15"/>
  <c r="K28" i="15"/>
  <c r="K24" i="15"/>
  <c r="K25" i="15"/>
  <c r="F108" i="14"/>
  <c r="F107" i="14"/>
  <c r="L20" i="16"/>
  <c r="K20" i="16"/>
  <c r="L19" i="16"/>
  <c r="K19" i="16"/>
  <c r="L18" i="16"/>
  <c r="K18" i="16"/>
  <c r="L17" i="16"/>
  <c r="K17" i="16"/>
  <c r="L5" i="16"/>
  <c r="K5" i="16"/>
  <c r="L4" i="16"/>
  <c r="K4" i="16"/>
  <c r="L3" i="16"/>
  <c r="K3" i="16"/>
  <c r="L2" i="16"/>
  <c r="K2" i="16"/>
  <c r="B80" i="14"/>
  <c r="C80" i="14"/>
  <c r="D80" i="14"/>
  <c r="E80" i="14"/>
  <c r="F80" i="14"/>
  <c r="B81" i="14"/>
  <c r="C81" i="14"/>
  <c r="D81" i="14"/>
  <c r="E81" i="14"/>
  <c r="B82" i="14"/>
  <c r="C82" i="14"/>
  <c r="D82" i="14"/>
  <c r="E82" i="14"/>
  <c r="B83" i="14"/>
  <c r="C83" i="14"/>
  <c r="D83" i="14"/>
  <c r="E83" i="14"/>
  <c r="B84" i="14"/>
  <c r="C84" i="14"/>
  <c r="F84" i="14" s="1"/>
  <c r="D84" i="14"/>
  <c r="E84" i="14"/>
  <c r="B85" i="14"/>
  <c r="C85" i="14"/>
  <c r="D85" i="14"/>
  <c r="E85" i="14"/>
  <c r="B86" i="14"/>
  <c r="C86" i="14"/>
  <c r="D86" i="14"/>
  <c r="E86" i="14"/>
  <c r="B87" i="14"/>
  <c r="C87" i="14"/>
  <c r="F87" i="14" s="1"/>
  <c r="D87" i="14"/>
  <c r="E87" i="14"/>
  <c r="C3" i="19"/>
  <c r="D3" i="19"/>
  <c r="E3" i="19"/>
  <c r="F3" i="19"/>
  <c r="G3" i="19"/>
  <c r="H3" i="19"/>
  <c r="I3" i="19"/>
  <c r="J3" i="19"/>
  <c r="K3" i="19"/>
  <c r="M3" i="19"/>
  <c r="N3" i="19"/>
  <c r="C4" i="19"/>
  <c r="D4" i="19"/>
  <c r="E4" i="19"/>
  <c r="F4" i="19"/>
  <c r="G4" i="19"/>
  <c r="H4" i="19"/>
  <c r="I4" i="19"/>
  <c r="J4" i="19"/>
  <c r="K4" i="19"/>
  <c r="C5" i="19"/>
  <c r="D5" i="19"/>
  <c r="E5" i="19"/>
  <c r="F5" i="19"/>
  <c r="G5" i="19"/>
  <c r="H5" i="19"/>
  <c r="I5" i="19"/>
  <c r="J5" i="19"/>
  <c r="K5" i="19"/>
  <c r="C6" i="19"/>
  <c r="D6" i="19"/>
  <c r="E6" i="19"/>
  <c r="F6" i="19"/>
  <c r="G6" i="19"/>
  <c r="H6" i="19"/>
  <c r="I6" i="19"/>
  <c r="J6" i="19"/>
  <c r="K6" i="19"/>
  <c r="C7" i="19"/>
  <c r="D7" i="19"/>
  <c r="E7" i="19"/>
  <c r="F7" i="19"/>
  <c r="G7" i="19"/>
  <c r="H7" i="19"/>
  <c r="I7" i="19"/>
  <c r="J7" i="19"/>
  <c r="K7" i="19"/>
  <c r="C8" i="19"/>
  <c r="D8" i="19"/>
  <c r="E8" i="19"/>
  <c r="F8" i="19"/>
  <c r="G8" i="19"/>
  <c r="H8" i="19"/>
  <c r="I8" i="19"/>
  <c r="J8" i="19"/>
  <c r="K8" i="19"/>
  <c r="A11" i="19"/>
  <c r="B11" i="19"/>
  <c r="C11" i="19"/>
  <c r="D11" i="19"/>
  <c r="E11" i="19"/>
  <c r="F11" i="19"/>
  <c r="G11" i="19"/>
  <c r="H11" i="19"/>
  <c r="I11" i="19"/>
  <c r="J11" i="19"/>
  <c r="K11" i="19"/>
  <c r="C12" i="19"/>
  <c r="D12" i="19"/>
  <c r="E12" i="19"/>
  <c r="F12" i="19"/>
  <c r="G12" i="19"/>
  <c r="H12" i="19"/>
  <c r="I12" i="19"/>
  <c r="J12" i="19"/>
  <c r="K12" i="19"/>
  <c r="M12" i="19"/>
  <c r="N12" i="19"/>
  <c r="C13" i="19"/>
  <c r="D13" i="19"/>
  <c r="E13" i="19"/>
  <c r="F13" i="19"/>
  <c r="G13" i="19"/>
  <c r="H13" i="19"/>
  <c r="I13" i="19"/>
  <c r="J13" i="19"/>
  <c r="K13" i="19"/>
  <c r="C14" i="19"/>
  <c r="D14" i="19"/>
  <c r="E14" i="19"/>
  <c r="F14" i="19"/>
  <c r="G14" i="19"/>
  <c r="H14" i="19"/>
  <c r="I14" i="19"/>
  <c r="J14" i="19"/>
  <c r="K14" i="19"/>
  <c r="C15" i="19"/>
  <c r="D15" i="19"/>
  <c r="E15" i="19"/>
  <c r="F15" i="19"/>
  <c r="G15" i="19"/>
  <c r="H15" i="19"/>
  <c r="I15" i="19"/>
  <c r="J15" i="19"/>
  <c r="K15" i="19"/>
  <c r="C16" i="19"/>
  <c r="D16" i="19"/>
  <c r="E16" i="19"/>
  <c r="F16" i="19"/>
  <c r="G16" i="19"/>
  <c r="H16" i="19"/>
  <c r="I16" i="19"/>
  <c r="J16" i="19"/>
  <c r="K16" i="19"/>
  <c r="C17" i="19"/>
  <c r="D17" i="19"/>
  <c r="E17" i="19"/>
  <c r="F17" i="19"/>
  <c r="G17" i="19"/>
  <c r="H17" i="19"/>
  <c r="I17" i="19"/>
  <c r="J17" i="19"/>
  <c r="K17" i="19"/>
  <c r="A20" i="19"/>
  <c r="B20" i="19"/>
  <c r="C20" i="19"/>
  <c r="D20" i="19"/>
  <c r="E20" i="19"/>
  <c r="F20" i="19"/>
  <c r="G20" i="19"/>
  <c r="H20" i="19"/>
  <c r="I20" i="19"/>
  <c r="J20" i="19"/>
  <c r="K20" i="19"/>
  <c r="C21" i="19"/>
  <c r="D21" i="19"/>
  <c r="E21" i="19"/>
  <c r="F21" i="19"/>
  <c r="G21" i="19"/>
  <c r="H21" i="19"/>
  <c r="I21" i="19"/>
  <c r="J21" i="19"/>
  <c r="K21" i="19"/>
  <c r="M21" i="19"/>
  <c r="N21" i="19"/>
  <c r="C22" i="19"/>
  <c r="D22" i="19"/>
  <c r="E22" i="19"/>
  <c r="F22" i="19"/>
  <c r="G22" i="19"/>
  <c r="H22" i="19"/>
  <c r="I22" i="19"/>
  <c r="J22" i="19"/>
  <c r="K22" i="19"/>
  <c r="C23" i="19"/>
  <c r="D23" i="19"/>
  <c r="E23" i="19"/>
  <c r="F23" i="19"/>
  <c r="G23" i="19"/>
  <c r="H23" i="19"/>
  <c r="I23" i="19"/>
  <c r="J23" i="19"/>
  <c r="K23" i="19"/>
  <c r="C24" i="19"/>
  <c r="D24" i="19"/>
  <c r="E24" i="19"/>
  <c r="F24" i="19"/>
  <c r="G24" i="19"/>
  <c r="H24" i="19"/>
  <c r="I24" i="19"/>
  <c r="J24" i="19"/>
  <c r="K24" i="19"/>
  <c r="C25" i="19"/>
  <c r="D25" i="19"/>
  <c r="E25" i="19"/>
  <c r="F25" i="19"/>
  <c r="G25" i="19"/>
  <c r="H25" i="19"/>
  <c r="I25" i="19"/>
  <c r="J25" i="19"/>
  <c r="K25" i="19"/>
  <c r="C26" i="19"/>
  <c r="D26" i="19"/>
  <c r="E26" i="19"/>
  <c r="F26" i="19"/>
  <c r="G26" i="19"/>
  <c r="H26" i="19"/>
  <c r="I26" i="19"/>
  <c r="J26" i="19"/>
  <c r="K26" i="19"/>
  <c r="B2" i="18"/>
  <c r="C2" i="18"/>
  <c r="D2" i="18"/>
  <c r="E2" i="18"/>
  <c r="F2" i="18"/>
  <c r="G2" i="18"/>
  <c r="H2" i="18"/>
  <c r="I2" i="18"/>
  <c r="J2" i="18"/>
  <c r="B3" i="18"/>
  <c r="C3" i="18"/>
  <c r="D3" i="18"/>
  <c r="E3" i="18"/>
  <c r="F3" i="18"/>
  <c r="G3" i="18"/>
  <c r="H3" i="18"/>
  <c r="I3" i="18"/>
  <c r="J3" i="18"/>
  <c r="B4" i="18"/>
  <c r="C4" i="18"/>
  <c r="D4" i="18"/>
  <c r="E4" i="18"/>
  <c r="F4" i="18"/>
  <c r="G4" i="18"/>
  <c r="H4" i="18"/>
  <c r="I4" i="18"/>
  <c r="J4" i="18"/>
  <c r="B5" i="18"/>
  <c r="C5" i="18"/>
  <c r="D5" i="18"/>
  <c r="E5" i="18"/>
  <c r="F5" i="18"/>
  <c r="G5" i="18"/>
  <c r="H5" i="18"/>
  <c r="I5" i="18"/>
  <c r="J5" i="18"/>
  <c r="B6" i="18"/>
  <c r="K6" i="18" s="1"/>
  <c r="C6" i="18"/>
  <c r="D6" i="18"/>
  <c r="E6" i="18"/>
  <c r="F6" i="18"/>
  <c r="G6" i="18"/>
  <c r="H6" i="18"/>
  <c r="I6" i="18"/>
  <c r="J6" i="18"/>
  <c r="B9" i="18"/>
  <c r="C9" i="18"/>
  <c r="D9" i="18"/>
  <c r="K9" i="18" s="1"/>
  <c r="E9" i="18"/>
  <c r="F9" i="18"/>
  <c r="G9" i="18"/>
  <c r="H9" i="18"/>
  <c r="I9" i="18"/>
  <c r="J9" i="18"/>
  <c r="B10" i="18"/>
  <c r="C10" i="18"/>
  <c r="D10" i="18"/>
  <c r="E10" i="18"/>
  <c r="F10" i="18"/>
  <c r="G10" i="18"/>
  <c r="H10" i="18"/>
  <c r="I10" i="18"/>
  <c r="J10" i="18"/>
  <c r="B11" i="18"/>
  <c r="K11" i="18" s="1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K12" i="18"/>
  <c r="B13" i="18"/>
  <c r="C13" i="18"/>
  <c r="D13" i="18"/>
  <c r="E13" i="18"/>
  <c r="F13" i="18"/>
  <c r="G13" i="18"/>
  <c r="H13" i="18"/>
  <c r="I13" i="18"/>
  <c r="J13" i="18"/>
  <c r="B16" i="18"/>
  <c r="C16" i="18"/>
  <c r="D16" i="18"/>
  <c r="E16" i="18"/>
  <c r="F16" i="18"/>
  <c r="G16" i="18"/>
  <c r="H16" i="18"/>
  <c r="I16" i="18"/>
  <c r="J16" i="18"/>
  <c r="B17" i="18"/>
  <c r="K17" i="18" s="1"/>
  <c r="C17" i="18"/>
  <c r="D17" i="18"/>
  <c r="E17" i="18"/>
  <c r="F17" i="18"/>
  <c r="G17" i="18"/>
  <c r="H17" i="18"/>
  <c r="I17" i="18"/>
  <c r="J17" i="18"/>
  <c r="B18" i="18"/>
  <c r="C18" i="18"/>
  <c r="D18" i="18"/>
  <c r="E18" i="18"/>
  <c r="F18" i="18"/>
  <c r="G18" i="18"/>
  <c r="H18" i="18"/>
  <c r="I18" i="18"/>
  <c r="J18" i="18"/>
  <c r="B19" i="18"/>
  <c r="C19" i="18"/>
  <c r="D19" i="18"/>
  <c r="E19" i="18"/>
  <c r="F19" i="18"/>
  <c r="G19" i="18"/>
  <c r="H19" i="18"/>
  <c r="I19" i="18"/>
  <c r="J19" i="18"/>
  <c r="K19" i="18"/>
  <c r="B20" i="18"/>
  <c r="C20" i="18"/>
  <c r="D20" i="18"/>
  <c r="E20" i="18"/>
  <c r="F20" i="18"/>
  <c r="G20" i="18"/>
  <c r="H20" i="18"/>
  <c r="I20" i="18"/>
  <c r="J20" i="18"/>
  <c r="B36" i="14"/>
  <c r="C36" i="14"/>
  <c r="D36" i="14"/>
  <c r="E36" i="14"/>
  <c r="B58" i="14"/>
  <c r="C58" i="14"/>
  <c r="F58" i="14" s="1"/>
  <c r="D58" i="14"/>
  <c r="E58" i="14"/>
  <c r="B37" i="14"/>
  <c r="C37" i="14"/>
  <c r="D37" i="14"/>
  <c r="E37" i="14"/>
  <c r="B59" i="14"/>
  <c r="C59" i="14"/>
  <c r="D59" i="14"/>
  <c r="E59" i="14"/>
  <c r="B38" i="14"/>
  <c r="C38" i="14"/>
  <c r="D38" i="14"/>
  <c r="E38" i="14"/>
  <c r="B60" i="14"/>
  <c r="C60" i="14"/>
  <c r="D60" i="14"/>
  <c r="E60" i="14"/>
  <c r="B39" i="14"/>
  <c r="C39" i="14"/>
  <c r="D39" i="14"/>
  <c r="E39" i="14"/>
  <c r="B61" i="14"/>
  <c r="C61" i="14"/>
  <c r="D61" i="14"/>
  <c r="E61" i="14"/>
  <c r="B40" i="14"/>
  <c r="C40" i="14"/>
  <c r="D40" i="14"/>
  <c r="E40" i="14"/>
  <c r="B62" i="14"/>
  <c r="C62" i="14"/>
  <c r="D62" i="14"/>
  <c r="E62" i="14"/>
  <c r="B41" i="14"/>
  <c r="C41" i="14"/>
  <c r="D41" i="14"/>
  <c r="E41" i="14"/>
  <c r="B63" i="14"/>
  <c r="C63" i="14"/>
  <c r="D63" i="14"/>
  <c r="E63" i="14"/>
  <c r="B42" i="14"/>
  <c r="C42" i="14"/>
  <c r="D42" i="14"/>
  <c r="E42" i="14"/>
  <c r="B64" i="14"/>
  <c r="C64" i="14"/>
  <c r="D64" i="14"/>
  <c r="E64" i="14"/>
  <c r="B43" i="14"/>
  <c r="C43" i="14"/>
  <c r="D43" i="14"/>
  <c r="E43" i="14"/>
  <c r="B65" i="14"/>
  <c r="C65" i="14"/>
  <c r="D65" i="14"/>
  <c r="E65" i="14"/>
  <c r="A47" i="14"/>
  <c r="A58" i="14" s="1"/>
  <c r="B47" i="14"/>
  <c r="C47" i="14"/>
  <c r="D47" i="14"/>
  <c r="E47" i="14"/>
  <c r="A69" i="14"/>
  <c r="A80" i="14" s="1"/>
  <c r="B69" i="14"/>
  <c r="C69" i="14"/>
  <c r="D69" i="14"/>
  <c r="E69" i="14"/>
  <c r="A91" i="14"/>
  <c r="B91" i="14"/>
  <c r="F91" i="14" s="1"/>
  <c r="C91" i="14"/>
  <c r="D91" i="14"/>
  <c r="E91" i="14"/>
  <c r="A48" i="14"/>
  <c r="A59" i="14" s="1"/>
  <c r="B48" i="14"/>
  <c r="C48" i="14"/>
  <c r="D48" i="14"/>
  <c r="E48" i="14"/>
  <c r="A70" i="14"/>
  <c r="A81" i="14" s="1"/>
  <c r="B70" i="14"/>
  <c r="C70" i="14"/>
  <c r="D70" i="14"/>
  <c r="E70" i="14"/>
  <c r="A92" i="14"/>
  <c r="B92" i="14"/>
  <c r="C92" i="14"/>
  <c r="D92" i="14"/>
  <c r="E92" i="14"/>
  <c r="A49" i="14"/>
  <c r="A60" i="14" s="1"/>
  <c r="B49" i="14"/>
  <c r="C49" i="14"/>
  <c r="D49" i="14"/>
  <c r="E49" i="14"/>
  <c r="A71" i="14"/>
  <c r="A82" i="14" s="1"/>
  <c r="B71" i="14"/>
  <c r="C71" i="14"/>
  <c r="F71" i="14" s="1"/>
  <c r="D71" i="14"/>
  <c r="E71" i="14"/>
  <c r="A93" i="14"/>
  <c r="B93" i="14"/>
  <c r="C93" i="14"/>
  <c r="D93" i="14"/>
  <c r="E93" i="14"/>
  <c r="A50" i="14"/>
  <c r="A61" i="14" s="1"/>
  <c r="B50" i="14"/>
  <c r="C50" i="14"/>
  <c r="D50" i="14"/>
  <c r="E50" i="14"/>
  <c r="A72" i="14"/>
  <c r="A83" i="14" s="1"/>
  <c r="B72" i="14"/>
  <c r="C72" i="14"/>
  <c r="D72" i="14"/>
  <c r="E72" i="14"/>
  <c r="A94" i="14"/>
  <c r="B94" i="14"/>
  <c r="C94" i="14"/>
  <c r="D94" i="14"/>
  <c r="E94" i="14"/>
  <c r="A51" i="14"/>
  <c r="A62" i="14" s="1"/>
  <c r="B51" i="14"/>
  <c r="C51" i="14"/>
  <c r="D51" i="14"/>
  <c r="E51" i="14"/>
  <c r="A73" i="14"/>
  <c r="A84" i="14" s="1"/>
  <c r="B73" i="14"/>
  <c r="C73" i="14"/>
  <c r="D73" i="14"/>
  <c r="E73" i="14"/>
  <c r="A95" i="14"/>
  <c r="B95" i="14"/>
  <c r="C95" i="14"/>
  <c r="D95" i="14"/>
  <c r="E95" i="14"/>
  <c r="A52" i="14"/>
  <c r="A63" i="14" s="1"/>
  <c r="B52" i="14"/>
  <c r="C52" i="14"/>
  <c r="D52" i="14"/>
  <c r="E52" i="14"/>
  <c r="A74" i="14"/>
  <c r="A85" i="14" s="1"/>
  <c r="B74" i="14"/>
  <c r="C74" i="14"/>
  <c r="D74" i="14"/>
  <c r="E74" i="14"/>
  <c r="A96" i="14"/>
  <c r="B96" i="14"/>
  <c r="C96" i="14"/>
  <c r="D96" i="14"/>
  <c r="E96" i="14"/>
  <c r="A53" i="14"/>
  <c r="A64" i="14" s="1"/>
  <c r="B53" i="14"/>
  <c r="C53" i="14"/>
  <c r="D53" i="14"/>
  <c r="E53" i="14"/>
  <c r="A75" i="14"/>
  <c r="A86" i="14" s="1"/>
  <c r="B75" i="14"/>
  <c r="C75" i="14"/>
  <c r="D75" i="14"/>
  <c r="E75" i="14"/>
  <c r="A97" i="14"/>
  <c r="B97" i="14"/>
  <c r="C97" i="14"/>
  <c r="D97" i="14"/>
  <c r="E97" i="14"/>
  <c r="A54" i="14"/>
  <c r="A65" i="14" s="1"/>
  <c r="B54" i="14"/>
  <c r="C54" i="14"/>
  <c r="D54" i="14"/>
  <c r="E54" i="14"/>
  <c r="A76" i="14"/>
  <c r="A87" i="14" s="1"/>
  <c r="B76" i="14"/>
  <c r="C76" i="14"/>
  <c r="D76" i="14"/>
  <c r="E76" i="14"/>
  <c r="A98" i="14"/>
  <c r="B98" i="14"/>
  <c r="C98" i="14"/>
  <c r="D98" i="14"/>
  <c r="E98" i="14"/>
  <c r="B24" i="16"/>
  <c r="B4" i="16" s="1"/>
  <c r="C24" i="16"/>
  <c r="C4" i="16" s="1"/>
  <c r="D24" i="16"/>
  <c r="E24" i="16"/>
  <c r="E4" i="16" s="1"/>
  <c r="F24" i="16"/>
  <c r="F4" i="16" s="1"/>
  <c r="G24" i="16"/>
  <c r="G4" i="16" s="1"/>
  <c r="H24" i="16"/>
  <c r="H4" i="16" s="1"/>
  <c r="I24" i="16"/>
  <c r="I4" i="16" s="1"/>
  <c r="J24" i="16"/>
  <c r="J4" i="16" s="1"/>
  <c r="A37" i="16"/>
  <c r="B37" i="16"/>
  <c r="C37" i="16"/>
  <c r="C2" i="16" s="1"/>
  <c r="D37" i="16"/>
  <c r="D2" i="16" s="1"/>
  <c r="E37" i="16"/>
  <c r="E2" i="16" s="1"/>
  <c r="F37" i="16"/>
  <c r="F2" i="16" s="1"/>
  <c r="G37" i="16"/>
  <c r="G2" i="16" s="1"/>
  <c r="H37" i="16"/>
  <c r="H2" i="16" s="1"/>
  <c r="I37" i="16"/>
  <c r="I2" i="16" s="1"/>
  <c r="J37" i="16"/>
  <c r="J2" i="16" s="1"/>
  <c r="B25" i="16"/>
  <c r="B9" i="16" s="1"/>
  <c r="C25" i="16"/>
  <c r="C9" i="16" s="1"/>
  <c r="D25" i="16"/>
  <c r="D9" i="16" s="1"/>
  <c r="E25" i="16"/>
  <c r="E9" i="16" s="1"/>
  <c r="F25" i="16"/>
  <c r="F9" i="16" s="1"/>
  <c r="G25" i="16"/>
  <c r="G9" i="16" s="1"/>
  <c r="H25" i="16"/>
  <c r="H9" i="16" s="1"/>
  <c r="I25" i="16"/>
  <c r="I9" i="16" s="1"/>
  <c r="J25" i="16"/>
  <c r="J9" i="16" s="1"/>
  <c r="A38" i="16"/>
  <c r="B38" i="16"/>
  <c r="B7" i="16" s="1"/>
  <c r="C38" i="16"/>
  <c r="C7" i="16" s="1"/>
  <c r="D38" i="16"/>
  <c r="D7" i="16" s="1"/>
  <c r="E38" i="16"/>
  <c r="E7" i="16" s="1"/>
  <c r="F38" i="16"/>
  <c r="F7" i="16" s="1"/>
  <c r="G38" i="16"/>
  <c r="G7" i="16" s="1"/>
  <c r="H38" i="16"/>
  <c r="H7" i="16" s="1"/>
  <c r="I38" i="16"/>
  <c r="I7" i="16" s="1"/>
  <c r="J38" i="16"/>
  <c r="J7" i="16" s="1"/>
  <c r="B26" i="16"/>
  <c r="B14" i="16" s="1"/>
  <c r="C26" i="16"/>
  <c r="C14" i="16" s="1"/>
  <c r="D26" i="16"/>
  <c r="D14" i="16" s="1"/>
  <c r="E26" i="16"/>
  <c r="E14" i="16" s="1"/>
  <c r="F26" i="16"/>
  <c r="F14" i="16" s="1"/>
  <c r="G26" i="16"/>
  <c r="G14" i="16" s="1"/>
  <c r="H26" i="16"/>
  <c r="H14" i="16" s="1"/>
  <c r="I26" i="16"/>
  <c r="I14" i="16" s="1"/>
  <c r="J26" i="16"/>
  <c r="J14" i="16" s="1"/>
  <c r="A39" i="16"/>
  <c r="B39" i="16"/>
  <c r="B12" i="16" s="1"/>
  <c r="C39" i="16"/>
  <c r="C12" i="16" s="1"/>
  <c r="D39" i="16"/>
  <c r="D12" i="16" s="1"/>
  <c r="E39" i="16"/>
  <c r="E12" i="16" s="1"/>
  <c r="F39" i="16"/>
  <c r="F12" i="16" s="1"/>
  <c r="G39" i="16"/>
  <c r="G12" i="16" s="1"/>
  <c r="H39" i="16"/>
  <c r="H12" i="16" s="1"/>
  <c r="I39" i="16"/>
  <c r="I12" i="16" s="1"/>
  <c r="J39" i="16"/>
  <c r="J12" i="16" s="1"/>
  <c r="B27" i="16"/>
  <c r="C27" i="16"/>
  <c r="D27" i="16"/>
  <c r="D15" i="16" s="1"/>
  <c r="E27" i="16"/>
  <c r="E15" i="16" s="1"/>
  <c r="F27" i="16"/>
  <c r="F15" i="16" s="1"/>
  <c r="G27" i="16"/>
  <c r="G15" i="16" s="1"/>
  <c r="H27" i="16"/>
  <c r="I27" i="16"/>
  <c r="I15" i="16" s="1"/>
  <c r="J27" i="16"/>
  <c r="J15" i="16" s="1"/>
  <c r="A40" i="16"/>
  <c r="B40" i="16"/>
  <c r="B17" i="16" s="1"/>
  <c r="C40" i="16"/>
  <c r="C17" i="16" s="1"/>
  <c r="D40" i="16"/>
  <c r="D17" i="16" s="1"/>
  <c r="E40" i="16"/>
  <c r="E17" i="16" s="1"/>
  <c r="F40" i="16"/>
  <c r="F17" i="16" s="1"/>
  <c r="G40" i="16"/>
  <c r="G17" i="16" s="1"/>
  <c r="H40" i="16"/>
  <c r="H17" i="16" s="1"/>
  <c r="I40" i="16"/>
  <c r="I17" i="16" s="1"/>
  <c r="J40" i="16"/>
  <c r="J17" i="16" s="1"/>
  <c r="A30" i="16"/>
  <c r="B30" i="16"/>
  <c r="B5" i="16" s="1"/>
  <c r="C30" i="16"/>
  <c r="D30" i="16"/>
  <c r="D5" i="16" s="1"/>
  <c r="E30" i="16"/>
  <c r="E5" i="16" s="1"/>
  <c r="F30" i="16"/>
  <c r="F5" i="16" s="1"/>
  <c r="G30" i="16"/>
  <c r="G5" i="16" s="1"/>
  <c r="H30" i="16"/>
  <c r="H5" i="16" s="1"/>
  <c r="I30" i="16"/>
  <c r="I5" i="16" s="1"/>
  <c r="J30" i="16"/>
  <c r="J5" i="16" s="1"/>
  <c r="A43" i="16"/>
  <c r="B43" i="16"/>
  <c r="B3" i="16" s="1"/>
  <c r="C43" i="16"/>
  <c r="C3" i="16" s="1"/>
  <c r="D43" i="16"/>
  <c r="D3" i="16" s="1"/>
  <c r="E43" i="16"/>
  <c r="E3" i="16" s="1"/>
  <c r="F43" i="16"/>
  <c r="F3" i="16" s="1"/>
  <c r="G43" i="16"/>
  <c r="G3" i="16" s="1"/>
  <c r="H43" i="16"/>
  <c r="H3" i="16" s="1"/>
  <c r="I43" i="16"/>
  <c r="I3" i="16" s="1"/>
  <c r="J43" i="16"/>
  <c r="J3" i="16" s="1"/>
  <c r="A31" i="16"/>
  <c r="B31" i="16"/>
  <c r="B10" i="16" s="1"/>
  <c r="C31" i="16"/>
  <c r="C10" i="16" s="1"/>
  <c r="D31" i="16"/>
  <c r="D10" i="16" s="1"/>
  <c r="E31" i="16"/>
  <c r="E10" i="16" s="1"/>
  <c r="F31" i="16"/>
  <c r="F10" i="16" s="1"/>
  <c r="G31" i="16"/>
  <c r="G10" i="16" s="1"/>
  <c r="H31" i="16"/>
  <c r="H10" i="16" s="1"/>
  <c r="I31" i="16"/>
  <c r="I10" i="16" s="1"/>
  <c r="J31" i="16"/>
  <c r="J10" i="16" s="1"/>
  <c r="A44" i="16"/>
  <c r="B44" i="16"/>
  <c r="B8" i="16" s="1"/>
  <c r="C44" i="16"/>
  <c r="C8" i="16" s="1"/>
  <c r="D44" i="16"/>
  <c r="D8" i="16" s="1"/>
  <c r="E44" i="16"/>
  <c r="E8" i="16" s="1"/>
  <c r="F44" i="16"/>
  <c r="F8" i="16" s="1"/>
  <c r="G44" i="16"/>
  <c r="G8" i="16" s="1"/>
  <c r="H44" i="16"/>
  <c r="H8" i="16" s="1"/>
  <c r="I44" i="16"/>
  <c r="I8" i="16" s="1"/>
  <c r="J44" i="16"/>
  <c r="J8" i="16" s="1"/>
  <c r="A32" i="16"/>
  <c r="A16" i="16" s="1"/>
  <c r="B32" i="16"/>
  <c r="C32" i="16"/>
  <c r="D32" i="16"/>
  <c r="E32" i="16"/>
  <c r="F32" i="16"/>
  <c r="G32" i="16"/>
  <c r="H32" i="16"/>
  <c r="I32" i="16"/>
  <c r="J32" i="16"/>
  <c r="A45" i="16"/>
  <c r="B45" i="16"/>
  <c r="B13" i="16" s="1"/>
  <c r="C45" i="16"/>
  <c r="C13" i="16" s="1"/>
  <c r="D45" i="16"/>
  <c r="D13" i="16" s="1"/>
  <c r="E45" i="16"/>
  <c r="E13" i="16" s="1"/>
  <c r="F45" i="16"/>
  <c r="F13" i="16" s="1"/>
  <c r="G45" i="16"/>
  <c r="G13" i="16" s="1"/>
  <c r="H45" i="16"/>
  <c r="H13" i="16" s="1"/>
  <c r="I45" i="16"/>
  <c r="I13" i="16" s="1"/>
  <c r="J45" i="16"/>
  <c r="J13" i="16" s="1"/>
  <c r="A33" i="16"/>
  <c r="B33" i="16"/>
  <c r="B20" i="16" s="1"/>
  <c r="C33" i="16"/>
  <c r="C20" i="16" s="1"/>
  <c r="D33" i="16"/>
  <c r="D20" i="16" s="1"/>
  <c r="E33" i="16"/>
  <c r="E20" i="16" s="1"/>
  <c r="F33" i="16"/>
  <c r="F20" i="16" s="1"/>
  <c r="G33" i="16"/>
  <c r="G20" i="16" s="1"/>
  <c r="H33" i="16"/>
  <c r="H20" i="16" s="1"/>
  <c r="I33" i="16"/>
  <c r="I20" i="16" s="1"/>
  <c r="J33" i="16"/>
  <c r="J20" i="16" s="1"/>
  <c r="A46" i="16"/>
  <c r="B46" i="16"/>
  <c r="B18" i="16" s="1"/>
  <c r="C46" i="16"/>
  <c r="C18" i="16" s="1"/>
  <c r="D46" i="16"/>
  <c r="D18" i="16" s="1"/>
  <c r="E46" i="16"/>
  <c r="E18" i="16" s="1"/>
  <c r="F46" i="16"/>
  <c r="F18" i="16" s="1"/>
  <c r="G46" i="16"/>
  <c r="G18" i="16" s="1"/>
  <c r="H46" i="16"/>
  <c r="H18" i="16" s="1"/>
  <c r="I46" i="16"/>
  <c r="I18" i="16" s="1"/>
  <c r="J46" i="16"/>
  <c r="J18" i="16" s="1"/>
  <c r="A1" i="16"/>
  <c r="C1" i="16"/>
  <c r="D1" i="16"/>
  <c r="E1" i="16"/>
  <c r="F1" i="16"/>
  <c r="G1" i="16"/>
  <c r="H1" i="16"/>
  <c r="I1" i="16"/>
  <c r="J1" i="16"/>
  <c r="D4" i="16"/>
  <c r="C16" i="16"/>
  <c r="D16" i="16"/>
  <c r="E16" i="16"/>
  <c r="F16" i="16"/>
  <c r="G16" i="16"/>
  <c r="H16" i="16"/>
  <c r="I16" i="16"/>
  <c r="J16" i="16"/>
  <c r="F19" i="16"/>
  <c r="C2" i="15"/>
  <c r="D2" i="15"/>
  <c r="E2" i="15"/>
  <c r="F2" i="15"/>
  <c r="G2" i="15"/>
  <c r="H2" i="15"/>
  <c r="I2" i="15"/>
  <c r="J2" i="15"/>
  <c r="C3" i="15"/>
  <c r="D3" i="15"/>
  <c r="E3" i="15"/>
  <c r="F3" i="15"/>
  <c r="G3" i="15"/>
  <c r="H3" i="15"/>
  <c r="I3" i="15"/>
  <c r="J3" i="15"/>
  <c r="C4" i="15"/>
  <c r="D4" i="15"/>
  <c r="E4" i="15"/>
  <c r="F4" i="15"/>
  <c r="G4" i="15"/>
  <c r="H4" i="15"/>
  <c r="I4" i="15"/>
  <c r="J4" i="15"/>
  <c r="C5" i="15"/>
  <c r="D5" i="15"/>
  <c r="E5" i="15"/>
  <c r="F5" i="15"/>
  <c r="G5" i="15"/>
  <c r="H5" i="15"/>
  <c r="I5" i="15"/>
  <c r="J5" i="15"/>
  <c r="C6" i="15"/>
  <c r="D6" i="15"/>
  <c r="E6" i="15"/>
  <c r="F6" i="15"/>
  <c r="G6" i="15"/>
  <c r="H6" i="15"/>
  <c r="I6" i="15"/>
  <c r="J6" i="15"/>
  <c r="J26" i="15" s="1"/>
  <c r="C7" i="15"/>
  <c r="D7" i="15"/>
  <c r="E7" i="15"/>
  <c r="F7" i="15"/>
  <c r="G7" i="15"/>
  <c r="H7" i="15"/>
  <c r="I7" i="15"/>
  <c r="J7" i="15"/>
  <c r="C8" i="15"/>
  <c r="D8" i="15"/>
  <c r="E8" i="15"/>
  <c r="F8" i="15"/>
  <c r="G8" i="15"/>
  <c r="H8" i="15"/>
  <c r="I8" i="15"/>
  <c r="J8" i="15"/>
  <c r="C9" i="15"/>
  <c r="D9" i="15"/>
  <c r="E9" i="15"/>
  <c r="F9" i="15"/>
  <c r="G9" i="15"/>
  <c r="H9" i="15"/>
  <c r="I9" i="15"/>
  <c r="J9" i="15"/>
  <c r="C10" i="15"/>
  <c r="D10" i="15"/>
  <c r="E10" i="15"/>
  <c r="F10" i="15"/>
  <c r="G10" i="15"/>
  <c r="H10" i="15"/>
  <c r="I10" i="15"/>
  <c r="J10" i="15"/>
  <c r="C11" i="15"/>
  <c r="D11" i="15"/>
  <c r="E11" i="15"/>
  <c r="F11" i="15"/>
  <c r="G11" i="15"/>
  <c r="H11" i="15"/>
  <c r="I11" i="15"/>
  <c r="J11" i="15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K15" i="15" s="1"/>
  <c r="D15" i="15"/>
  <c r="E15" i="15"/>
  <c r="F15" i="15"/>
  <c r="G15" i="15"/>
  <c r="H15" i="15"/>
  <c r="I15" i="15"/>
  <c r="J15" i="15"/>
  <c r="C30" i="15"/>
  <c r="D30" i="15"/>
  <c r="E30" i="15"/>
  <c r="F30" i="15"/>
  <c r="G30" i="15"/>
  <c r="H30" i="15"/>
  <c r="I30" i="15"/>
  <c r="J30" i="15"/>
  <c r="K2" i="14"/>
  <c r="K26" i="14" s="1"/>
  <c r="L2" i="14"/>
  <c r="L26" i="14" s="1"/>
  <c r="K3" i="14"/>
  <c r="K19" i="14" s="1"/>
  <c r="L3" i="14"/>
  <c r="L19" i="14" s="1"/>
  <c r="K4" i="14"/>
  <c r="K12" i="14" s="1"/>
  <c r="L4" i="14"/>
  <c r="L12" i="14" s="1"/>
  <c r="K5" i="14"/>
  <c r="K13" i="14" s="1"/>
  <c r="L5" i="14"/>
  <c r="L13" i="14" s="1"/>
  <c r="K6" i="14"/>
  <c r="K30" i="14" s="1"/>
  <c r="L6" i="14"/>
  <c r="L30" i="14" s="1"/>
  <c r="K7" i="14"/>
  <c r="K15" i="14" s="1"/>
  <c r="L7" i="14"/>
  <c r="L31" i="14" s="1"/>
  <c r="K8" i="14"/>
  <c r="K32" i="14" s="1"/>
  <c r="L8" i="14"/>
  <c r="L24" i="14" s="1"/>
  <c r="E1" i="2"/>
  <c r="E9" i="2" s="1"/>
  <c r="E1" i="14"/>
  <c r="E17" i="14" s="1"/>
  <c r="C25" i="14"/>
  <c r="B9" i="2"/>
  <c r="C9" i="2"/>
  <c r="D9" i="2"/>
  <c r="F9" i="2"/>
  <c r="G9" i="2"/>
  <c r="H9" i="2"/>
  <c r="A32" i="14"/>
  <c r="A31" i="14"/>
  <c r="A30" i="14"/>
  <c r="A29" i="14"/>
  <c r="A28" i="14"/>
  <c r="A27" i="14"/>
  <c r="A26" i="14"/>
  <c r="A24" i="14"/>
  <c r="A23" i="14"/>
  <c r="A22" i="14"/>
  <c r="A21" i="14"/>
  <c r="A20" i="14"/>
  <c r="A19" i="14"/>
  <c r="A18" i="14"/>
  <c r="A16" i="14"/>
  <c r="A15" i="14"/>
  <c r="A14" i="14"/>
  <c r="A13" i="14"/>
  <c r="A12" i="14"/>
  <c r="A11" i="14"/>
  <c r="A10" i="14"/>
  <c r="J25" i="14"/>
  <c r="H25" i="14"/>
  <c r="G25" i="14"/>
  <c r="F25" i="14"/>
  <c r="D25" i="14"/>
  <c r="J17" i="14"/>
  <c r="H17" i="14"/>
  <c r="G17" i="14"/>
  <c r="F17" i="14"/>
  <c r="D17" i="14"/>
  <c r="C17" i="14"/>
  <c r="B25" i="14"/>
  <c r="B17" i="14"/>
  <c r="J9" i="14"/>
  <c r="H9" i="14"/>
  <c r="G9" i="14"/>
  <c r="F9" i="14"/>
  <c r="D9" i="14"/>
  <c r="C9" i="14"/>
  <c r="B9" i="14"/>
  <c r="B2" i="14"/>
  <c r="C2" i="14"/>
  <c r="D2" i="14"/>
  <c r="E2" i="14"/>
  <c r="F2" i="14"/>
  <c r="G2" i="14"/>
  <c r="H2" i="14"/>
  <c r="I2" i="14"/>
  <c r="J2" i="14"/>
  <c r="B10" i="14"/>
  <c r="C10" i="14"/>
  <c r="D10" i="14"/>
  <c r="E10" i="14"/>
  <c r="F10" i="14"/>
  <c r="G10" i="14"/>
  <c r="H10" i="14"/>
  <c r="I10" i="14"/>
  <c r="J10" i="14"/>
  <c r="B18" i="14"/>
  <c r="C18" i="14"/>
  <c r="D18" i="14"/>
  <c r="E18" i="14"/>
  <c r="F18" i="14"/>
  <c r="G18" i="14"/>
  <c r="H18" i="14"/>
  <c r="I18" i="14"/>
  <c r="J18" i="14"/>
  <c r="B26" i="14"/>
  <c r="C26" i="14"/>
  <c r="D26" i="14"/>
  <c r="E26" i="14"/>
  <c r="F26" i="14"/>
  <c r="G26" i="14"/>
  <c r="H26" i="14"/>
  <c r="I26" i="14"/>
  <c r="J26" i="14"/>
  <c r="B3" i="14"/>
  <c r="C3" i="14"/>
  <c r="D3" i="14"/>
  <c r="E3" i="14"/>
  <c r="F3" i="14"/>
  <c r="G3" i="14"/>
  <c r="H3" i="14"/>
  <c r="I3" i="14"/>
  <c r="J3" i="14"/>
  <c r="B11" i="14"/>
  <c r="C11" i="14"/>
  <c r="D11" i="14"/>
  <c r="E11" i="14"/>
  <c r="F11" i="14"/>
  <c r="G11" i="14"/>
  <c r="H11" i="14"/>
  <c r="I11" i="14"/>
  <c r="J11" i="14"/>
  <c r="B19" i="14"/>
  <c r="C19" i="14"/>
  <c r="D19" i="14"/>
  <c r="E19" i="14"/>
  <c r="F19" i="14"/>
  <c r="G19" i="14"/>
  <c r="H19" i="14"/>
  <c r="I19" i="14"/>
  <c r="J19" i="14"/>
  <c r="B27" i="14"/>
  <c r="C27" i="14"/>
  <c r="D27" i="14"/>
  <c r="E27" i="14"/>
  <c r="F27" i="14"/>
  <c r="G27" i="14"/>
  <c r="H27" i="14"/>
  <c r="I27" i="14"/>
  <c r="J27" i="14"/>
  <c r="B4" i="14"/>
  <c r="C4" i="14"/>
  <c r="D4" i="14"/>
  <c r="E4" i="14"/>
  <c r="F4" i="14"/>
  <c r="G4" i="14"/>
  <c r="H4" i="14"/>
  <c r="I4" i="14"/>
  <c r="J4" i="14"/>
  <c r="B12" i="14"/>
  <c r="C12" i="14"/>
  <c r="D12" i="14"/>
  <c r="E12" i="14"/>
  <c r="F12" i="14"/>
  <c r="G12" i="14"/>
  <c r="H12" i="14"/>
  <c r="I12" i="14"/>
  <c r="J12" i="14"/>
  <c r="B20" i="14"/>
  <c r="C20" i="14"/>
  <c r="D20" i="14"/>
  <c r="E20" i="14"/>
  <c r="F20" i="14"/>
  <c r="G20" i="14"/>
  <c r="H20" i="14"/>
  <c r="I20" i="14"/>
  <c r="J20" i="14"/>
  <c r="B28" i="14"/>
  <c r="C28" i="14"/>
  <c r="D28" i="14"/>
  <c r="E28" i="14"/>
  <c r="F28" i="14"/>
  <c r="G28" i="14"/>
  <c r="H28" i="14"/>
  <c r="I28" i="14"/>
  <c r="J28" i="14"/>
  <c r="B5" i="14"/>
  <c r="C5" i="14"/>
  <c r="D5" i="14"/>
  <c r="E5" i="14"/>
  <c r="F5" i="14"/>
  <c r="G5" i="14"/>
  <c r="H5" i="14"/>
  <c r="I5" i="14"/>
  <c r="J5" i="14"/>
  <c r="B13" i="14"/>
  <c r="C13" i="14"/>
  <c r="D13" i="14"/>
  <c r="E13" i="14"/>
  <c r="F13" i="14"/>
  <c r="G13" i="14"/>
  <c r="H13" i="14"/>
  <c r="I13" i="14"/>
  <c r="J13" i="14"/>
  <c r="B21" i="14"/>
  <c r="C21" i="14"/>
  <c r="D21" i="14"/>
  <c r="E21" i="14"/>
  <c r="F21" i="14"/>
  <c r="G21" i="14"/>
  <c r="H21" i="14"/>
  <c r="I21" i="14"/>
  <c r="J21" i="14"/>
  <c r="B29" i="14"/>
  <c r="C29" i="14"/>
  <c r="D29" i="14"/>
  <c r="E29" i="14"/>
  <c r="F29" i="14"/>
  <c r="G29" i="14"/>
  <c r="H29" i="14"/>
  <c r="I29" i="14"/>
  <c r="J29" i="14"/>
  <c r="B6" i="14"/>
  <c r="C6" i="14"/>
  <c r="D6" i="14"/>
  <c r="E6" i="14"/>
  <c r="F6" i="14"/>
  <c r="G6" i="14"/>
  <c r="H6" i="14"/>
  <c r="I6" i="14"/>
  <c r="J6" i="14"/>
  <c r="B14" i="14"/>
  <c r="C14" i="14"/>
  <c r="D14" i="14"/>
  <c r="E14" i="14"/>
  <c r="F14" i="14"/>
  <c r="G14" i="14"/>
  <c r="H14" i="14"/>
  <c r="I14" i="14"/>
  <c r="J14" i="14"/>
  <c r="B22" i="14"/>
  <c r="C22" i="14"/>
  <c r="D22" i="14"/>
  <c r="E22" i="14"/>
  <c r="F22" i="14"/>
  <c r="G22" i="14"/>
  <c r="H22" i="14"/>
  <c r="I22" i="14"/>
  <c r="J22" i="14"/>
  <c r="B30" i="14"/>
  <c r="C30" i="14"/>
  <c r="D30" i="14"/>
  <c r="E30" i="14"/>
  <c r="F30" i="14"/>
  <c r="G30" i="14"/>
  <c r="H30" i="14"/>
  <c r="I30" i="14"/>
  <c r="J30" i="14"/>
  <c r="B7" i="14"/>
  <c r="C7" i="14"/>
  <c r="D7" i="14"/>
  <c r="E7" i="14"/>
  <c r="F7" i="14"/>
  <c r="G7" i="14"/>
  <c r="H7" i="14"/>
  <c r="I7" i="14"/>
  <c r="J7" i="14"/>
  <c r="B15" i="14"/>
  <c r="C15" i="14"/>
  <c r="D15" i="14"/>
  <c r="E15" i="14"/>
  <c r="F15" i="14"/>
  <c r="G15" i="14"/>
  <c r="H15" i="14"/>
  <c r="I15" i="14"/>
  <c r="J15" i="14"/>
  <c r="B23" i="14"/>
  <c r="C23" i="14"/>
  <c r="D23" i="14"/>
  <c r="E23" i="14"/>
  <c r="F23" i="14"/>
  <c r="G23" i="14"/>
  <c r="H23" i="14"/>
  <c r="I23" i="14"/>
  <c r="J23" i="14"/>
  <c r="B31" i="14"/>
  <c r="C31" i="14"/>
  <c r="D31" i="14"/>
  <c r="E31" i="14"/>
  <c r="F31" i="14"/>
  <c r="G31" i="14"/>
  <c r="H31" i="14"/>
  <c r="I31" i="14"/>
  <c r="J31" i="14"/>
  <c r="B8" i="14"/>
  <c r="C8" i="14"/>
  <c r="D8" i="14"/>
  <c r="E8" i="14"/>
  <c r="F8" i="14"/>
  <c r="G8" i="14"/>
  <c r="H8" i="14"/>
  <c r="I8" i="14"/>
  <c r="J8" i="14"/>
  <c r="B16" i="14"/>
  <c r="C16" i="14"/>
  <c r="D16" i="14"/>
  <c r="E16" i="14"/>
  <c r="F16" i="14"/>
  <c r="G16" i="14"/>
  <c r="H16" i="14"/>
  <c r="I16" i="14"/>
  <c r="J16" i="14"/>
  <c r="B24" i="14"/>
  <c r="C24" i="14"/>
  <c r="D24" i="14"/>
  <c r="E24" i="14"/>
  <c r="F24" i="14"/>
  <c r="G24" i="14"/>
  <c r="H24" i="14"/>
  <c r="I24" i="14"/>
  <c r="J24" i="14"/>
  <c r="B32" i="14"/>
  <c r="C32" i="14"/>
  <c r="D32" i="14"/>
  <c r="E32" i="14"/>
  <c r="F32" i="14"/>
  <c r="G32" i="14"/>
  <c r="H32" i="14"/>
  <c r="I32" i="14"/>
  <c r="J32" i="14"/>
  <c r="I2" i="13"/>
  <c r="R2" i="13" s="1"/>
  <c r="R10" i="13" s="1"/>
  <c r="K2" i="13"/>
  <c r="L2" i="13"/>
  <c r="L10" i="13" s="1"/>
  <c r="M2" i="13"/>
  <c r="M7" i="13" s="1"/>
  <c r="N2" i="13"/>
  <c r="N10" i="13" s="1"/>
  <c r="O2" i="13"/>
  <c r="O7" i="13" s="1"/>
  <c r="P2" i="13"/>
  <c r="P10" i="13" s="1"/>
  <c r="Q2" i="13"/>
  <c r="Q10" i="13" s="1"/>
  <c r="S2" i="13"/>
  <c r="T2" i="13"/>
  <c r="T10" i="13" s="1"/>
  <c r="U2" i="13"/>
  <c r="U10" i="13" s="1"/>
  <c r="V2" i="13"/>
  <c r="V7" i="13" s="1"/>
  <c r="W2" i="13"/>
  <c r="X2" i="13"/>
  <c r="Y2" i="13"/>
  <c r="Z2" i="13"/>
  <c r="Z7" i="13" s="1"/>
  <c r="AB2" i="13"/>
  <c r="AC2" i="13"/>
  <c r="AC10" i="13" s="1"/>
  <c r="AD2" i="13"/>
  <c r="AD7" i="13" s="1"/>
  <c r="AE2" i="13"/>
  <c r="AE10" i="13" s="1"/>
  <c r="AF2" i="13"/>
  <c r="AF7" i="13" s="1"/>
  <c r="AG2" i="13"/>
  <c r="AG7" i="13" s="1"/>
  <c r="AH2" i="13"/>
  <c r="AH7" i="13" s="1"/>
  <c r="AI2" i="13"/>
  <c r="AI7" i="13" s="1"/>
  <c r="AK2" i="13"/>
  <c r="AK7" i="13" s="1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B7" i="13"/>
  <c r="C7" i="13"/>
  <c r="D7" i="13"/>
  <c r="E7" i="13"/>
  <c r="F7" i="13"/>
  <c r="G7" i="13"/>
  <c r="H7" i="13"/>
  <c r="J7" i="13"/>
  <c r="K7" i="13"/>
  <c r="S7" i="13"/>
  <c r="U7" i="13"/>
  <c r="W7" i="13"/>
  <c r="X7" i="13"/>
  <c r="Y7" i="13"/>
  <c r="AB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B10" i="13"/>
  <c r="C10" i="13"/>
  <c r="D10" i="13"/>
  <c r="E10" i="13"/>
  <c r="F10" i="13"/>
  <c r="G10" i="13"/>
  <c r="H10" i="13"/>
  <c r="J10" i="13"/>
  <c r="K10" i="13"/>
  <c r="M10" i="13"/>
  <c r="O10" i="13"/>
  <c r="S10" i="13"/>
  <c r="W10" i="13"/>
  <c r="X10" i="13"/>
  <c r="Y10" i="13"/>
  <c r="AB10" i="13"/>
  <c r="AG10" i="13"/>
  <c r="AI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L25" i="11"/>
  <c r="L24" i="11"/>
  <c r="L23" i="11"/>
  <c r="L19" i="11"/>
  <c r="L18" i="11"/>
  <c r="L17" i="11"/>
  <c r="E9" i="10"/>
  <c r="L6" i="10"/>
  <c r="BE9" i="10"/>
  <c r="L75" i="10" s="1"/>
  <c r="BD9" i="10"/>
  <c r="K75" i="10" s="1"/>
  <c r="BC9" i="10"/>
  <c r="J75" i="10" s="1"/>
  <c r="BB9" i="10"/>
  <c r="I75" i="10" s="1"/>
  <c r="BA9" i="10"/>
  <c r="H75" i="10" s="1"/>
  <c r="AZ9" i="10"/>
  <c r="G75" i="10" s="1"/>
  <c r="AY9" i="10"/>
  <c r="F75" i="10" s="1"/>
  <c r="AX9" i="10"/>
  <c r="E75" i="10" s="1"/>
  <c r="AW9" i="10"/>
  <c r="D75" i="10" s="1"/>
  <c r="AV9" i="10"/>
  <c r="L62" i="10" s="1"/>
  <c r="AU9" i="10"/>
  <c r="K62" i="10" s="1"/>
  <c r="AT9" i="10"/>
  <c r="J62" i="10" s="1"/>
  <c r="AS9" i="10"/>
  <c r="I62" i="10" s="1"/>
  <c r="AR9" i="10"/>
  <c r="H62" i="10" s="1"/>
  <c r="AQ9" i="10"/>
  <c r="G62" i="10" s="1"/>
  <c r="AP9" i="10"/>
  <c r="F62" i="10" s="1"/>
  <c r="AO9" i="10"/>
  <c r="E62" i="10" s="1"/>
  <c r="AM9" i="10"/>
  <c r="L49" i="10" s="1"/>
  <c r="AL9" i="10"/>
  <c r="K49" i="10" s="1"/>
  <c r="AK9" i="10"/>
  <c r="J49" i="10" s="1"/>
  <c r="AJ9" i="10"/>
  <c r="I49" i="10" s="1"/>
  <c r="AI9" i="10"/>
  <c r="H49" i="10" s="1"/>
  <c r="AH9" i="10"/>
  <c r="G49" i="10" s="1"/>
  <c r="AG9" i="10"/>
  <c r="F49" i="10" s="1"/>
  <c r="AF9" i="10"/>
  <c r="E49" i="10" s="1"/>
  <c r="AD9" i="10"/>
  <c r="L35" i="10" s="1"/>
  <c r="AC9" i="10"/>
  <c r="K35" i="10" s="1"/>
  <c r="AB9" i="10"/>
  <c r="J35" i="10" s="1"/>
  <c r="AA9" i="10"/>
  <c r="I35" i="10" s="1"/>
  <c r="Z9" i="10"/>
  <c r="H35" i="10" s="1"/>
  <c r="Y9" i="10"/>
  <c r="G35" i="10" s="1"/>
  <c r="X9" i="10"/>
  <c r="F35" i="10" s="1"/>
  <c r="W9" i="10"/>
  <c r="E35" i="10" s="1"/>
  <c r="U9" i="10"/>
  <c r="L22" i="10" s="1"/>
  <c r="T9" i="10"/>
  <c r="K22" i="10" s="1"/>
  <c r="S9" i="10"/>
  <c r="J22" i="10" s="1"/>
  <c r="R9" i="10"/>
  <c r="I22" i="10" s="1"/>
  <c r="Q9" i="10"/>
  <c r="H22" i="10" s="1"/>
  <c r="P9" i="10"/>
  <c r="G22" i="10" s="1"/>
  <c r="O9" i="10"/>
  <c r="F22" i="10" s="1"/>
  <c r="N9" i="10"/>
  <c r="E22" i="10" s="1"/>
  <c r="L9" i="10"/>
  <c r="K9" i="10"/>
  <c r="J9" i="10"/>
  <c r="I9" i="10"/>
  <c r="H9" i="10"/>
  <c r="G9" i="10"/>
  <c r="F9" i="10"/>
  <c r="AN9" i="10"/>
  <c r="D62" i="10" s="1"/>
  <c r="AE9" i="10"/>
  <c r="D49" i="10" s="1"/>
  <c r="V9" i="10"/>
  <c r="D35" i="10" s="1"/>
  <c r="M9" i="10"/>
  <c r="D22" i="10" s="1"/>
  <c r="D9" i="10"/>
  <c r="D8" i="10"/>
  <c r="D6" i="10"/>
  <c r="E6" i="10"/>
  <c r="F6" i="10"/>
  <c r="G6" i="10"/>
  <c r="H6" i="10"/>
  <c r="I6" i="10"/>
  <c r="J6" i="10"/>
  <c r="K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J21" i="2"/>
  <c r="I21" i="2"/>
  <c r="H21" i="2"/>
  <c r="G21" i="2"/>
  <c r="F21" i="2"/>
  <c r="E21" i="2"/>
  <c r="D21" i="2"/>
  <c r="C21" i="2"/>
  <c r="B21" i="2"/>
  <c r="K21" i="2" s="1"/>
  <c r="B13" i="2"/>
  <c r="J45" i="2"/>
  <c r="I45" i="2"/>
  <c r="H45" i="2"/>
  <c r="G45" i="2"/>
  <c r="F45" i="2"/>
  <c r="E45" i="2"/>
  <c r="D45" i="2"/>
  <c r="C45" i="2"/>
  <c r="J37" i="2"/>
  <c r="I37" i="2"/>
  <c r="H37" i="2"/>
  <c r="G37" i="2"/>
  <c r="F37" i="2"/>
  <c r="E37" i="2"/>
  <c r="D37" i="2"/>
  <c r="C37" i="2"/>
  <c r="J29" i="2"/>
  <c r="I29" i="2"/>
  <c r="H29" i="2"/>
  <c r="G29" i="2"/>
  <c r="F29" i="2"/>
  <c r="E29" i="2"/>
  <c r="D29" i="2"/>
  <c r="C29" i="2"/>
  <c r="J13" i="2"/>
  <c r="I13" i="2"/>
  <c r="H13" i="2"/>
  <c r="G13" i="2"/>
  <c r="F13" i="2"/>
  <c r="E13" i="2"/>
  <c r="D13" i="2"/>
  <c r="C13" i="2"/>
  <c r="B45" i="2"/>
  <c r="K45" i="2" s="1"/>
  <c r="B37" i="2"/>
  <c r="K37" i="2" s="1"/>
  <c r="B29" i="2"/>
  <c r="K29" i="2" s="1"/>
  <c r="B5" i="2"/>
  <c r="J5" i="2"/>
  <c r="I5" i="2"/>
  <c r="H5" i="2"/>
  <c r="G5" i="2"/>
  <c r="F5" i="2"/>
  <c r="E5" i="2"/>
  <c r="D5" i="2"/>
  <c r="C5" i="2"/>
  <c r="B4" i="2"/>
  <c r="K5" i="2" l="1"/>
  <c r="F37" i="14"/>
  <c r="F59" i="14"/>
  <c r="F60" i="14"/>
  <c r="C19" i="16"/>
  <c r="C15" i="16"/>
  <c r="B19" i="16"/>
  <c r="B15" i="16"/>
  <c r="H19" i="16"/>
  <c r="H15" i="16"/>
  <c r="K13" i="2"/>
  <c r="K43" i="16"/>
  <c r="K26" i="16"/>
  <c r="K46" i="16"/>
  <c r="K32" i="16"/>
  <c r="D19" i="16"/>
  <c r="K9" i="15"/>
  <c r="K5" i="15"/>
  <c r="K7" i="15"/>
  <c r="K12" i="15"/>
  <c r="K3" i="15"/>
  <c r="K10" i="15"/>
  <c r="K13" i="15"/>
  <c r="K4" i="15"/>
  <c r="K2" i="15"/>
  <c r="K14" i="15"/>
  <c r="K30" i="15"/>
  <c r="K8" i="15"/>
  <c r="F48" i="14"/>
  <c r="F86" i="14"/>
  <c r="F82" i="14"/>
  <c r="F36" i="14"/>
  <c r="F63" i="14"/>
  <c r="F61" i="14"/>
  <c r="F81" i="14"/>
  <c r="F92" i="14"/>
  <c r="F93" i="14"/>
  <c r="F97" i="14"/>
  <c r="F70" i="14"/>
  <c r="F98" i="14"/>
  <c r="F72" i="14"/>
  <c r="F69" i="14"/>
  <c r="F64" i="14"/>
  <c r="F62" i="14"/>
  <c r="K20" i="18"/>
  <c r="K13" i="18"/>
  <c r="K18" i="18"/>
  <c r="K10" i="18"/>
  <c r="K4" i="18"/>
  <c r="K2" i="18"/>
  <c r="K5" i="18"/>
  <c r="K3" i="18"/>
  <c r="F94" i="14"/>
  <c r="F52" i="14"/>
  <c r="F38" i="14"/>
  <c r="F83" i="14"/>
  <c r="F85" i="14"/>
  <c r="F73" i="14"/>
  <c r="F74" i="14"/>
  <c r="F75" i="14"/>
  <c r="F65" i="14"/>
  <c r="G19" i="16"/>
  <c r="K30" i="16"/>
  <c r="K38" i="16"/>
  <c r="E19" i="16"/>
  <c r="K44" i="16"/>
  <c r="K39" i="16"/>
  <c r="K24" i="16"/>
  <c r="J19" i="16"/>
  <c r="K37" i="16"/>
  <c r="C5" i="16"/>
  <c r="I19" i="16"/>
  <c r="K33" i="16"/>
  <c r="K25" i="16"/>
  <c r="K31" i="16"/>
  <c r="F54" i="14"/>
  <c r="F53" i="14"/>
  <c r="F41" i="14"/>
  <c r="F40" i="14"/>
  <c r="F51" i="14"/>
  <c r="F42" i="14"/>
  <c r="F47" i="14"/>
  <c r="F43" i="14"/>
  <c r="F96" i="14"/>
  <c r="F39" i="14"/>
  <c r="F76" i="14"/>
  <c r="F95" i="14"/>
  <c r="F50" i="14"/>
  <c r="F49" i="14"/>
  <c r="K27" i="16"/>
  <c r="B2" i="16"/>
  <c r="K45" i="16"/>
  <c r="K40" i="16"/>
  <c r="E9" i="14"/>
  <c r="E25" i="14"/>
  <c r="K14" i="14"/>
  <c r="L16" i="14"/>
  <c r="K16" i="14"/>
  <c r="K24" i="14"/>
  <c r="L23" i="14"/>
  <c r="K23" i="14"/>
  <c r="L22" i="14"/>
  <c r="K22" i="14"/>
  <c r="L32" i="14"/>
  <c r="K21" i="14"/>
  <c r="L18" i="14"/>
  <c r="K18" i="14"/>
  <c r="L15" i="14"/>
  <c r="L14" i="14"/>
  <c r="K31" i="14"/>
  <c r="K11" i="14"/>
  <c r="L10" i="14"/>
  <c r="K10" i="14"/>
  <c r="L29" i="14"/>
  <c r="K29" i="14"/>
  <c r="L11" i="14"/>
  <c r="L21" i="14"/>
  <c r="L28" i="14"/>
  <c r="K28" i="14"/>
  <c r="L20" i="14"/>
  <c r="L27" i="14"/>
  <c r="K20" i="14"/>
  <c r="K27" i="14"/>
  <c r="I7" i="13"/>
  <c r="I17" i="14"/>
  <c r="I9" i="14"/>
  <c r="I25" i="14"/>
  <c r="I10" i="13"/>
  <c r="Q7" i="13"/>
  <c r="AF10" i="13"/>
  <c r="P7" i="13"/>
  <c r="AD10" i="13"/>
  <c r="AA2" i="13"/>
  <c r="N7" i="13"/>
  <c r="Z10" i="13"/>
  <c r="AJ2" i="13"/>
  <c r="AJ7" i="13" s="1"/>
  <c r="V10" i="13"/>
  <c r="T7" i="13"/>
  <c r="AK10" i="13"/>
  <c r="AH10" i="13"/>
  <c r="AE7" i="13"/>
  <c r="L7" i="13"/>
  <c r="AC7" i="13"/>
  <c r="R7" i="13"/>
  <c r="C9" i="10"/>
  <c r="C22" i="10" s="1"/>
  <c r="B9" i="10"/>
  <c r="B49" i="10" s="1"/>
  <c r="C49" i="10"/>
  <c r="C35" i="10"/>
  <c r="C75" i="10"/>
  <c r="B44" i="10"/>
  <c r="B70" i="10"/>
  <c r="B57" i="10"/>
  <c r="B30" i="10"/>
  <c r="B17" i="10"/>
  <c r="AJ10" i="13" l="1"/>
  <c r="AA7" i="13"/>
  <c r="AA10" i="13"/>
  <c r="C62" i="10"/>
  <c r="B75" i="10"/>
  <c r="B22" i="10"/>
  <c r="B35" i="10"/>
  <c r="B62" i="10"/>
  <c r="K5" i="10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J18" i="2"/>
  <c r="I18" i="2"/>
  <c r="H18" i="2"/>
  <c r="G18" i="2"/>
  <c r="F18" i="2"/>
  <c r="E18" i="2"/>
  <c r="D18" i="2"/>
  <c r="C18" i="2"/>
  <c r="B24" i="2"/>
  <c r="K24" i="2" s="1"/>
  <c r="B23" i="2"/>
  <c r="B22" i="2"/>
  <c r="K22" i="2" s="1"/>
  <c r="B20" i="2"/>
  <c r="K20" i="2" s="1"/>
  <c r="B19" i="2"/>
  <c r="K19" i="2" s="1"/>
  <c r="B18" i="2"/>
  <c r="K18" i="2" s="1"/>
  <c r="AZ14" i="10"/>
  <c r="G80" i="10" s="1"/>
  <c r="AY14" i="10"/>
  <c r="F80" i="10" s="1"/>
  <c r="AX14" i="10"/>
  <c r="E80" i="10" s="1"/>
  <c r="AW14" i="10"/>
  <c r="D80" i="10" s="1"/>
  <c r="AV14" i="10"/>
  <c r="L67" i="10" s="1"/>
  <c r="AU14" i="10"/>
  <c r="K67" i="10" s="1"/>
  <c r="AT14" i="10"/>
  <c r="J67" i="10" s="1"/>
  <c r="AS14" i="10"/>
  <c r="I67" i="10" s="1"/>
  <c r="AR14" i="10"/>
  <c r="H67" i="10" s="1"/>
  <c r="AQ14" i="10"/>
  <c r="G67" i="10" s="1"/>
  <c r="AP14" i="10"/>
  <c r="F67" i="10" s="1"/>
  <c r="AO14" i="10"/>
  <c r="E67" i="10" s="1"/>
  <c r="AN14" i="10"/>
  <c r="D67" i="10" s="1"/>
  <c r="AM14" i="10"/>
  <c r="L54" i="10" s="1"/>
  <c r="AL14" i="10"/>
  <c r="K54" i="10" s="1"/>
  <c r="AK14" i="10"/>
  <c r="J54" i="10" s="1"/>
  <c r="AJ14" i="10"/>
  <c r="I54" i="10" s="1"/>
  <c r="AI14" i="10"/>
  <c r="H54" i="10" s="1"/>
  <c r="AH14" i="10"/>
  <c r="G54" i="10" s="1"/>
  <c r="AG14" i="10"/>
  <c r="F54" i="10" s="1"/>
  <c r="AF14" i="10"/>
  <c r="E54" i="10" s="1"/>
  <c r="AE14" i="10"/>
  <c r="D54" i="10" s="1"/>
  <c r="AD14" i="10"/>
  <c r="L40" i="10" s="1"/>
  <c r="AC14" i="10"/>
  <c r="K40" i="10" s="1"/>
  <c r="AB14" i="10"/>
  <c r="J40" i="10" s="1"/>
  <c r="AA14" i="10"/>
  <c r="I40" i="10" s="1"/>
  <c r="Z14" i="10"/>
  <c r="H40" i="10" s="1"/>
  <c r="Y14" i="10"/>
  <c r="G40" i="10" s="1"/>
  <c r="X14" i="10"/>
  <c r="F40" i="10" s="1"/>
  <c r="W14" i="10"/>
  <c r="E40" i="10" s="1"/>
  <c r="V14" i="10"/>
  <c r="D40" i="10" s="1"/>
  <c r="U14" i="10"/>
  <c r="L27" i="10" s="1"/>
  <c r="T14" i="10"/>
  <c r="K27" i="10" s="1"/>
  <c r="S14" i="10"/>
  <c r="J27" i="10" s="1"/>
  <c r="R14" i="10"/>
  <c r="I27" i="10" s="1"/>
  <c r="Q14" i="10"/>
  <c r="H27" i="10" s="1"/>
  <c r="P14" i="10"/>
  <c r="G27" i="10" s="1"/>
  <c r="O14" i="10"/>
  <c r="F27" i="10" s="1"/>
  <c r="N14" i="10"/>
  <c r="E27" i="10" s="1"/>
  <c r="M14" i="10"/>
  <c r="D27" i="10" s="1"/>
  <c r="L14" i="10"/>
  <c r="K14" i="10"/>
  <c r="J14" i="10"/>
  <c r="I14" i="10"/>
  <c r="H14" i="10"/>
  <c r="G14" i="10"/>
  <c r="F14" i="10"/>
  <c r="E14" i="10"/>
  <c r="D14" i="10"/>
  <c r="BE12" i="10"/>
  <c r="L78" i="10" s="1"/>
  <c r="BD12" i="10"/>
  <c r="K78" i="10" s="1"/>
  <c r="BC12" i="10"/>
  <c r="J78" i="10" s="1"/>
  <c r="BB12" i="10"/>
  <c r="I78" i="10" s="1"/>
  <c r="BA12" i="10"/>
  <c r="H78" i="10" s="1"/>
  <c r="AZ12" i="10"/>
  <c r="G78" i="10" s="1"/>
  <c r="AY12" i="10"/>
  <c r="F78" i="10" s="1"/>
  <c r="AX12" i="10"/>
  <c r="E78" i="10" s="1"/>
  <c r="AW12" i="10"/>
  <c r="D78" i="10" s="1"/>
  <c r="AV12" i="10"/>
  <c r="L65" i="10" s="1"/>
  <c r="AU12" i="10"/>
  <c r="K65" i="10" s="1"/>
  <c r="AT12" i="10"/>
  <c r="J65" i="10" s="1"/>
  <c r="AS12" i="10"/>
  <c r="I65" i="10" s="1"/>
  <c r="AR12" i="10"/>
  <c r="H65" i="10" s="1"/>
  <c r="AQ12" i="10"/>
  <c r="G65" i="10" s="1"/>
  <c r="AP12" i="10"/>
  <c r="F65" i="10" s="1"/>
  <c r="AO12" i="10"/>
  <c r="E65" i="10" s="1"/>
  <c r="AN12" i="10"/>
  <c r="D65" i="10" s="1"/>
  <c r="AM12" i="10"/>
  <c r="L52" i="10" s="1"/>
  <c r="AL12" i="10"/>
  <c r="K52" i="10" s="1"/>
  <c r="AK12" i="10"/>
  <c r="J52" i="10" s="1"/>
  <c r="AJ12" i="10"/>
  <c r="I52" i="10" s="1"/>
  <c r="AI12" i="10"/>
  <c r="H52" i="10" s="1"/>
  <c r="AH12" i="10"/>
  <c r="G52" i="10" s="1"/>
  <c r="AG12" i="10"/>
  <c r="F52" i="10" s="1"/>
  <c r="AF12" i="10"/>
  <c r="E52" i="10" s="1"/>
  <c r="AE12" i="10"/>
  <c r="D52" i="10" s="1"/>
  <c r="AD12" i="10"/>
  <c r="L38" i="10" s="1"/>
  <c r="AC12" i="10"/>
  <c r="K38" i="10" s="1"/>
  <c r="AB12" i="10"/>
  <c r="J38" i="10" s="1"/>
  <c r="AA12" i="10"/>
  <c r="I38" i="10" s="1"/>
  <c r="Z12" i="10"/>
  <c r="H38" i="10" s="1"/>
  <c r="Y12" i="10"/>
  <c r="G38" i="10" s="1"/>
  <c r="X12" i="10"/>
  <c r="F38" i="10" s="1"/>
  <c r="W12" i="10"/>
  <c r="E38" i="10" s="1"/>
  <c r="V12" i="10"/>
  <c r="D38" i="10" s="1"/>
  <c r="U12" i="10"/>
  <c r="L25" i="10" s="1"/>
  <c r="T12" i="10"/>
  <c r="K25" i="10" s="1"/>
  <c r="S12" i="10"/>
  <c r="J25" i="10" s="1"/>
  <c r="R12" i="10"/>
  <c r="I25" i="10" s="1"/>
  <c r="Q12" i="10"/>
  <c r="H25" i="10" s="1"/>
  <c r="P12" i="10"/>
  <c r="G25" i="10" s="1"/>
  <c r="O12" i="10"/>
  <c r="F25" i="10" s="1"/>
  <c r="N12" i="10"/>
  <c r="E25" i="10" s="1"/>
  <c r="M12" i="10"/>
  <c r="D25" i="10" s="1"/>
  <c r="L12" i="10"/>
  <c r="K12" i="10"/>
  <c r="J12" i="10"/>
  <c r="I12" i="10"/>
  <c r="H12" i="10"/>
  <c r="G12" i="10"/>
  <c r="F12" i="10"/>
  <c r="E12" i="10"/>
  <c r="D12" i="10"/>
  <c r="BE11" i="10"/>
  <c r="L77" i="10" s="1"/>
  <c r="BD11" i="10"/>
  <c r="K77" i="10" s="1"/>
  <c r="BC11" i="10"/>
  <c r="J77" i="10" s="1"/>
  <c r="BB11" i="10"/>
  <c r="I77" i="10" s="1"/>
  <c r="BA11" i="10"/>
  <c r="H77" i="10" s="1"/>
  <c r="AZ11" i="10"/>
  <c r="G77" i="10" s="1"/>
  <c r="AY11" i="10"/>
  <c r="F77" i="10" s="1"/>
  <c r="AX11" i="10"/>
  <c r="E77" i="10" s="1"/>
  <c r="AW11" i="10"/>
  <c r="D77" i="10" s="1"/>
  <c r="AV11" i="10"/>
  <c r="L64" i="10" s="1"/>
  <c r="AU11" i="10"/>
  <c r="K64" i="10" s="1"/>
  <c r="AT11" i="10"/>
  <c r="J64" i="10" s="1"/>
  <c r="AS11" i="10"/>
  <c r="I64" i="10" s="1"/>
  <c r="AR11" i="10"/>
  <c r="H64" i="10" s="1"/>
  <c r="AQ11" i="10"/>
  <c r="G64" i="10" s="1"/>
  <c r="AP11" i="10"/>
  <c r="F64" i="10" s="1"/>
  <c r="AO11" i="10"/>
  <c r="E64" i="10" s="1"/>
  <c r="AN11" i="10"/>
  <c r="D64" i="10" s="1"/>
  <c r="AM11" i="10"/>
  <c r="L51" i="10" s="1"/>
  <c r="AL11" i="10"/>
  <c r="K51" i="10" s="1"/>
  <c r="AK11" i="10"/>
  <c r="J51" i="10" s="1"/>
  <c r="AJ11" i="10"/>
  <c r="I51" i="10" s="1"/>
  <c r="AI11" i="10"/>
  <c r="H51" i="10" s="1"/>
  <c r="AH11" i="10"/>
  <c r="G51" i="10" s="1"/>
  <c r="AG11" i="10"/>
  <c r="F51" i="10" s="1"/>
  <c r="AF11" i="10"/>
  <c r="E51" i="10" s="1"/>
  <c r="AE11" i="10"/>
  <c r="D51" i="10" s="1"/>
  <c r="AD11" i="10"/>
  <c r="L37" i="10" s="1"/>
  <c r="AC11" i="10"/>
  <c r="K37" i="10" s="1"/>
  <c r="AB11" i="10"/>
  <c r="J37" i="10" s="1"/>
  <c r="AA11" i="10"/>
  <c r="I37" i="10" s="1"/>
  <c r="Z11" i="10"/>
  <c r="H37" i="10" s="1"/>
  <c r="Y11" i="10"/>
  <c r="G37" i="10" s="1"/>
  <c r="X11" i="10"/>
  <c r="F37" i="10" s="1"/>
  <c r="W11" i="10"/>
  <c r="E37" i="10" s="1"/>
  <c r="V11" i="10"/>
  <c r="D37" i="10" s="1"/>
  <c r="U11" i="10"/>
  <c r="L24" i="10" s="1"/>
  <c r="T11" i="10"/>
  <c r="K24" i="10" s="1"/>
  <c r="S11" i="10"/>
  <c r="J24" i="10" s="1"/>
  <c r="R11" i="10"/>
  <c r="I24" i="10" s="1"/>
  <c r="Q11" i="10"/>
  <c r="H24" i="10" s="1"/>
  <c r="P11" i="10"/>
  <c r="G24" i="10" s="1"/>
  <c r="O11" i="10"/>
  <c r="F24" i="10" s="1"/>
  <c r="N11" i="10"/>
  <c r="E24" i="10" s="1"/>
  <c r="M11" i="10"/>
  <c r="D24" i="10" s="1"/>
  <c r="L11" i="10"/>
  <c r="K11" i="10"/>
  <c r="J11" i="10"/>
  <c r="I11" i="10"/>
  <c r="H11" i="10"/>
  <c r="G11" i="10"/>
  <c r="F11" i="10"/>
  <c r="E11" i="10"/>
  <c r="D11" i="10"/>
  <c r="BE8" i="10"/>
  <c r="L74" i="10" s="1"/>
  <c r="BD8" i="10"/>
  <c r="K74" i="10" s="1"/>
  <c r="BC8" i="10"/>
  <c r="J74" i="10" s="1"/>
  <c r="BB8" i="10"/>
  <c r="I74" i="10" s="1"/>
  <c r="BA8" i="10"/>
  <c r="H74" i="10" s="1"/>
  <c r="AZ8" i="10"/>
  <c r="G74" i="10" s="1"/>
  <c r="AY8" i="10"/>
  <c r="F74" i="10" s="1"/>
  <c r="AX8" i="10"/>
  <c r="E74" i="10" s="1"/>
  <c r="AW8" i="10"/>
  <c r="D74" i="10" s="1"/>
  <c r="AV8" i="10"/>
  <c r="L61" i="10" s="1"/>
  <c r="AU8" i="10"/>
  <c r="K61" i="10" s="1"/>
  <c r="AT8" i="10"/>
  <c r="J61" i="10" s="1"/>
  <c r="AS8" i="10"/>
  <c r="I61" i="10" s="1"/>
  <c r="AR8" i="10"/>
  <c r="H61" i="10" s="1"/>
  <c r="AQ8" i="10"/>
  <c r="G61" i="10" s="1"/>
  <c r="AP8" i="10"/>
  <c r="F61" i="10" s="1"/>
  <c r="AO8" i="10"/>
  <c r="E61" i="10" s="1"/>
  <c r="AN8" i="10"/>
  <c r="D61" i="10" s="1"/>
  <c r="AM8" i="10"/>
  <c r="L48" i="10" s="1"/>
  <c r="AL8" i="10"/>
  <c r="K48" i="10" s="1"/>
  <c r="AK8" i="10"/>
  <c r="J48" i="10" s="1"/>
  <c r="AJ8" i="10"/>
  <c r="I48" i="10" s="1"/>
  <c r="AI8" i="10"/>
  <c r="H48" i="10" s="1"/>
  <c r="AH8" i="10"/>
  <c r="G48" i="10" s="1"/>
  <c r="AG8" i="10"/>
  <c r="F48" i="10" s="1"/>
  <c r="AF8" i="10"/>
  <c r="E48" i="10" s="1"/>
  <c r="AE8" i="10"/>
  <c r="D48" i="10" s="1"/>
  <c r="AD8" i="10"/>
  <c r="L34" i="10" s="1"/>
  <c r="AC8" i="10"/>
  <c r="K34" i="10" s="1"/>
  <c r="AB8" i="10"/>
  <c r="J34" i="10" s="1"/>
  <c r="AA8" i="10"/>
  <c r="I34" i="10" s="1"/>
  <c r="Z8" i="10"/>
  <c r="H34" i="10" s="1"/>
  <c r="Y8" i="10"/>
  <c r="G34" i="10" s="1"/>
  <c r="X8" i="10"/>
  <c r="F34" i="10" s="1"/>
  <c r="W8" i="10"/>
  <c r="E34" i="10" s="1"/>
  <c r="V8" i="10"/>
  <c r="D34" i="10" s="1"/>
  <c r="U8" i="10"/>
  <c r="L21" i="10" s="1"/>
  <c r="T8" i="10"/>
  <c r="K21" i="10" s="1"/>
  <c r="S8" i="10"/>
  <c r="J21" i="10" s="1"/>
  <c r="R8" i="10"/>
  <c r="I21" i="10" s="1"/>
  <c r="Q8" i="10"/>
  <c r="H21" i="10" s="1"/>
  <c r="P8" i="10"/>
  <c r="G21" i="10" s="1"/>
  <c r="O8" i="10"/>
  <c r="F21" i="10" s="1"/>
  <c r="N8" i="10"/>
  <c r="E21" i="10" s="1"/>
  <c r="M8" i="10"/>
  <c r="D21" i="10" s="1"/>
  <c r="L8" i="10"/>
  <c r="K8" i="10"/>
  <c r="J8" i="10"/>
  <c r="I8" i="10"/>
  <c r="H8" i="10"/>
  <c r="G8" i="10"/>
  <c r="F8" i="10"/>
  <c r="E8" i="10"/>
  <c r="BE7" i="10"/>
  <c r="L73" i="10" s="1"/>
  <c r="BD7" i="10"/>
  <c r="K73" i="10" s="1"/>
  <c r="BC7" i="10"/>
  <c r="J73" i="10" s="1"/>
  <c r="BB7" i="10"/>
  <c r="I73" i="10" s="1"/>
  <c r="BA7" i="10"/>
  <c r="H73" i="10" s="1"/>
  <c r="AZ7" i="10"/>
  <c r="G73" i="10" s="1"/>
  <c r="AY7" i="10"/>
  <c r="F73" i="10" s="1"/>
  <c r="AX7" i="10"/>
  <c r="E73" i="10" s="1"/>
  <c r="AW7" i="10"/>
  <c r="D73" i="10" s="1"/>
  <c r="AV7" i="10"/>
  <c r="L60" i="10" s="1"/>
  <c r="AU7" i="10"/>
  <c r="K60" i="10" s="1"/>
  <c r="AT7" i="10"/>
  <c r="J60" i="10" s="1"/>
  <c r="AS7" i="10"/>
  <c r="I60" i="10" s="1"/>
  <c r="AR7" i="10"/>
  <c r="H60" i="10" s="1"/>
  <c r="AQ7" i="10"/>
  <c r="G60" i="10" s="1"/>
  <c r="AP7" i="10"/>
  <c r="F60" i="10" s="1"/>
  <c r="AO7" i="10"/>
  <c r="E60" i="10" s="1"/>
  <c r="AN7" i="10"/>
  <c r="D60" i="10" s="1"/>
  <c r="AM7" i="10"/>
  <c r="L47" i="10" s="1"/>
  <c r="AL7" i="10"/>
  <c r="K47" i="10" s="1"/>
  <c r="AK7" i="10"/>
  <c r="J47" i="10" s="1"/>
  <c r="AJ7" i="10"/>
  <c r="I47" i="10" s="1"/>
  <c r="AI7" i="10"/>
  <c r="H47" i="10" s="1"/>
  <c r="AH7" i="10"/>
  <c r="G47" i="10" s="1"/>
  <c r="AG7" i="10"/>
  <c r="F47" i="10" s="1"/>
  <c r="AF7" i="10"/>
  <c r="E47" i="10" s="1"/>
  <c r="AE7" i="10"/>
  <c r="D47" i="10" s="1"/>
  <c r="AD7" i="10"/>
  <c r="L33" i="10" s="1"/>
  <c r="AC7" i="10"/>
  <c r="K33" i="10" s="1"/>
  <c r="AB7" i="10"/>
  <c r="J33" i="10" s="1"/>
  <c r="AA7" i="10"/>
  <c r="I33" i="10" s="1"/>
  <c r="Z7" i="10"/>
  <c r="H33" i="10" s="1"/>
  <c r="Y7" i="10"/>
  <c r="G33" i="10" s="1"/>
  <c r="X7" i="10"/>
  <c r="F33" i="10" s="1"/>
  <c r="W7" i="10"/>
  <c r="E33" i="10" s="1"/>
  <c r="V7" i="10"/>
  <c r="D33" i="10" s="1"/>
  <c r="U7" i="10"/>
  <c r="L20" i="10" s="1"/>
  <c r="T7" i="10"/>
  <c r="K20" i="10" s="1"/>
  <c r="S7" i="10"/>
  <c r="J20" i="10" s="1"/>
  <c r="R7" i="10"/>
  <c r="I20" i="10" s="1"/>
  <c r="Q7" i="10"/>
  <c r="H20" i="10" s="1"/>
  <c r="P7" i="10"/>
  <c r="G20" i="10" s="1"/>
  <c r="O7" i="10"/>
  <c r="F20" i="10" s="1"/>
  <c r="N7" i="10"/>
  <c r="E20" i="10" s="1"/>
  <c r="M7" i="10"/>
  <c r="D20" i="10" s="1"/>
  <c r="L7" i="10"/>
  <c r="K7" i="10"/>
  <c r="J7" i="10"/>
  <c r="I7" i="10"/>
  <c r="H7" i="10"/>
  <c r="G7" i="10"/>
  <c r="F7" i="10"/>
  <c r="E7" i="10"/>
  <c r="D7" i="10"/>
  <c r="L72" i="10"/>
  <c r="K72" i="10"/>
  <c r="J72" i="10"/>
  <c r="I72" i="10"/>
  <c r="H72" i="10"/>
  <c r="G72" i="10"/>
  <c r="F72" i="10"/>
  <c r="E72" i="10"/>
  <c r="D72" i="10"/>
  <c r="L59" i="10"/>
  <c r="K59" i="10"/>
  <c r="J59" i="10"/>
  <c r="I59" i="10"/>
  <c r="H59" i="10"/>
  <c r="G59" i="10"/>
  <c r="F59" i="10"/>
  <c r="E59" i="10"/>
  <c r="D59" i="10"/>
  <c r="L46" i="10"/>
  <c r="K46" i="10"/>
  <c r="J46" i="10"/>
  <c r="I46" i="10"/>
  <c r="H46" i="10"/>
  <c r="G46" i="10"/>
  <c r="F46" i="10"/>
  <c r="E46" i="10"/>
  <c r="D46" i="10"/>
  <c r="L32" i="10"/>
  <c r="K32" i="10"/>
  <c r="J32" i="10"/>
  <c r="I32" i="10"/>
  <c r="H32" i="10"/>
  <c r="G32" i="10"/>
  <c r="F32" i="10"/>
  <c r="E32" i="10"/>
  <c r="D32" i="10"/>
  <c r="L19" i="10"/>
  <c r="K19" i="10"/>
  <c r="J19" i="10"/>
  <c r="I19" i="10"/>
  <c r="H19" i="10"/>
  <c r="G19" i="10"/>
  <c r="F19" i="10"/>
  <c r="E19" i="10"/>
  <c r="D19" i="10"/>
  <c r="AL5" i="10"/>
  <c r="F48" i="2"/>
  <c r="E48" i="2"/>
  <c r="D48" i="2"/>
  <c r="C48" i="2"/>
  <c r="B48" i="2"/>
  <c r="K48" i="2" s="1"/>
  <c r="J40" i="2"/>
  <c r="I40" i="2"/>
  <c r="H40" i="2"/>
  <c r="G40" i="2"/>
  <c r="F40" i="2"/>
  <c r="E40" i="2"/>
  <c r="D40" i="2"/>
  <c r="C40" i="2"/>
  <c r="B40" i="2"/>
  <c r="K40" i="2" s="1"/>
  <c r="J32" i="2"/>
  <c r="I32" i="2"/>
  <c r="H32" i="2"/>
  <c r="G32" i="2"/>
  <c r="F32" i="2"/>
  <c r="E32" i="2"/>
  <c r="D32" i="2"/>
  <c r="C32" i="2"/>
  <c r="B32" i="2"/>
  <c r="J16" i="2"/>
  <c r="I16" i="2"/>
  <c r="H16" i="2"/>
  <c r="G16" i="2"/>
  <c r="F16" i="2"/>
  <c r="E16" i="2"/>
  <c r="D16" i="2"/>
  <c r="C16" i="2"/>
  <c r="B16" i="2"/>
  <c r="K16" i="2" s="1"/>
  <c r="J8" i="2"/>
  <c r="I8" i="2"/>
  <c r="H8" i="2"/>
  <c r="G8" i="2"/>
  <c r="F8" i="2"/>
  <c r="E8" i="2"/>
  <c r="D8" i="2"/>
  <c r="C8" i="2"/>
  <c r="B8" i="2"/>
  <c r="J47" i="2"/>
  <c r="I47" i="2"/>
  <c r="H47" i="2"/>
  <c r="G47" i="2"/>
  <c r="F47" i="2"/>
  <c r="E47" i="2"/>
  <c r="D47" i="2"/>
  <c r="C47" i="2"/>
  <c r="B47" i="2"/>
  <c r="K47" i="2" s="1"/>
  <c r="J39" i="2"/>
  <c r="I39" i="2"/>
  <c r="H39" i="2"/>
  <c r="G39" i="2"/>
  <c r="F39" i="2"/>
  <c r="E39" i="2"/>
  <c r="D39" i="2"/>
  <c r="C39" i="2"/>
  <c r="B39" i="2"/>
  <c r="J31" i="2"/>
  <c r="I31" i="2"/>
  <c r="H31" i="2"/>
  <c r="G31" i="2"/>
  <c r="F31" i="2"/>
  <c r="E31" i="2"/>
  <c r="D31" i="2"/>
  <c r="C31" i="2"/>
  <c r="B31" i="2"/>
  <c r="J15" i="2"/>
  <c r="I15" i="2"/>
  <c r="H15" i="2"/>
  <c r="G15" i="2"/>
  <c r="F15" i="2"/>
  <c r="E15" i="2"/>
  <c r="D15" i="2"/>
  <c r="C15" i="2"/>
  <c r="B15" i="2"/>
  <c r="K15" i="2" s="1"/>
  <c r="J7" i="2"/>
  <c r="I7" i="2"/>
  <c r="H7" i="2"/>
  <c r="G7" i="2"/>
  <c r="F7" i="2"/>
  <c r="E7" i="2"/>
  <c r="D7" i="2"/>
  <c r="C7" i="2"/>
  <c r="B7" i="2"/>
  <c r="J46" i="2"/>
  <c r="I46" i="2"/>
  <c r="H46" i="2"/>
  <c r="G46" i="2"/>
  <c r="F46" i="2"/>
  <c r="E46" i="2"/>
  <c r="D46" i="2"/>
  <c r="C46" i="2"/>
  <c r="B46" i="2"/>
  <c r="J38" i="2"/>
  <c r="I38" i="2"/>
  <c r="H38" i="2"/>
  <c r="G38" i="2"/>
  <c r="F38" i="2"/>
  <c r="E38" i="2"/>
  <c r="D38" i="2"/>
  <c r="C38" i="2"/>
  <c r="B38" i="2"/>
  <c r="K38" i="2" s="1"/>
  <c r="J30" i="2"/>
  <c r="I30" i="2"/>
  <c r="H30" i="2"/>
  <c r="G30" i="2"/>
  <c r="F30" i="2"/>
  <c r="E30" i="2"/>
  <c r="D30" i="2"/>
  <c r="C30" i="2"/>
  <c r="B30" i="2"/>
  <c r="J14" i="2"/>
  <c r="I14" i="2"/>
  <c r="H14" i="2"/>
  <c r="G14" i="2"/>
  <c r="F14" i="2"/>
  <c r="E14" i="2"/>
  <c r="D14" i="2"/>
  <c r="C14" i="2"/>
  <c r="B14" i="2"/>
  <c r="K14" i="2" s="1"/>
  <c r="J6" i="2"/>
  <c r="I6" i="2"/>
  <c r="H6" i="2"/>
  <c r="G6" i="2"/>
  <c r="F6" i="2"/>
  <c r="E6" i="2"/>
  <c r="D6" i="2"/>
  <c r="C6" i="2"/>
  <c r="B6" i="2"/>
  <c r="J44" i="2"/>
  <c r="I44" i="2"/>
  <c r="H44" i="2"/>
  <c r="G44" i="2"/>
  <c r="F44" i="2"/>
  <c r="E44" i="2"/>
  <c r="D44" i="2"/>
  <c r="C44" i="2"/>
  <c r="B44" i="2"/>
  <c r="J36" i="2"/>
  <c r="I36" i="2"/>
  <c r="H36" i="2"/>
  <c r="G36" i="2"/>
  <c r="F36" i="2"/>
  <c r="E36" i="2"/>
  <c r="D36" i="2"/>
  <c r="C36" i="2"/>
  <c r="B36" i="2"/>
  <c r="J28" i="2"/>
  <c r="I28" i="2"/>
  <c r="H28" i="2"/>
  <c r="G28" i="2"/>
  <c r="F28" i="2"/>
  <c r="E28" i="2"/>
  <c r="D28" i="2"/>
  <c r="C28" i="2"/>
  <c r="B28" i="2"/>
  <c r="J12" i="2"/>
  <c r="I12" i="2"/>
  <c r="H12" i="2"/>
  <c r="G12" i="2"/>
  <c r="F12" i="2"/>
  <c r="E12" i="2"/>
  <c r="D12" i="2"/>
  <c r="C12" i="2"/>
  <c r="B12" i="2"/>
  <c r="J4" i="2"/>
  <c r="I4" i="2"/>
  <c r="H4" i="2"/>
  <c r="G4" i="2"/>
  <c r="F4" i="2"/>
  <c r="E4" i="2"/>
  <c r="D4" i="2"/>
  <c r="C4" i="2"/>
  <c r="K4" i="2" s="1"/>
  <c r="J43" i="2"/>
  <c r="I43" i="2"/>
  <c r="H43" i="2"/>
  <c r="G43" i="2"/>
  <c r="F43" i="2"/>
  <c r="E43" i="2"/>
  <c r="D43" i="2"/>
  <c r="C43" i="2"/>
  <c r="B43" i="2"/>
  <c r="K43" i="2" s="1"/>
  <c r="J35" i="2"/>
  <c r="I35" i="2"/>
  <c r="H35" i="2"/>
  <c r="G35" i="2"/>
  <c r="F35" i="2"/>
  <c r="E35" i="2"/>
  <c r="D35" i="2"/>
  <c r="C35" i="2"/>
  <c r="B35" i="2"/>
  <c r="J27" i="2"/>
  <c r="I27" i="2"/>
  <c r="H27" i="2"/>
  <c r="G27" i="2"/>
  <c r="F27" i="2"/>
  <c r="E27" i="2"/>
  <c r="D27" i="2"/>
  <c r="C27" i="2"/>
  <c r="B27" i="2"/>
  <c r="K27" i="2" s="1"/>
  <c r="J11" i="2"/>
  <c r="I11" i="2"/>
  <c r="H11" i="2"/>
  <c r="G11" i="2"/>
  <c r="F11" i="2"/>
  <c r="E11" i="2"/>
  <c r="D11" i="2"/>
  <c r="C11" i="2"/>
  <c r="B11" i="2"/>
  <c r="K11" i="2" s="1"/>
  <c r="J3" i="2"/>
  <c r="I3" i="2"/>
  <c r="H3" i="2"/>
  <c r="G3" i="2"/>
  <c r="F3" i="2"/>
  <c r="E3" i="2"/>
  <c r="D3" i="2"/>
  <c r="C3" i="2"/>
  <c r="B3" i="2"/>
  <c r="J42" i="2"/>
  <c r="I42" i="2"/>
  <c r="H42" i="2"/>
  <c r="G42" i="2"/>
  <c r="F42" i="2"/>
  <c r="E42" i="2"/>
  <c r="D42" i="2"/>
  <c r="C42" i="2"/>
  <c r="B42" i="2"/>
  <c r="K42" i="2" s="1"/>
  <c r="J34" i="2"/>
  <c r="I34" i="2"/>
  <c r="H34" i="2"/>
  <c r="G34" i="2"/>
  <c r="F34" i="2"/>
  <c r="E34" i="2"/>
  <c r="D34" i="2"/>
  <c r="C34" i="2"/>
  <c r="B34" i="2"/>
  <c r="K34" i="2" s="1"/>
  <c r="J26" i="2"/>
  <c r="I26" i="2"/>
  <c r="H26" i="2"/>
  <c r="G26" i="2"/>
  <c r="F26" i="2"/>
  <c r="E26" i="2"/>
  <c r="D26" i="2"/>
  <c r="C26" i="2"/>
  <c r="B26" i="2"/>
  <c r="K26" i="2" s="1"/>
  <c r="J10" i="2"/>
  <c r="I10" i="2"/>
  <c r="H10" i="2"/>
  <c r="G10" i="2"/>
  <c r="F10" i="2"/>
  <c r="E10" i="2"/>
  <c r="D10" i="2"/>
  <c r="C10" i="2"/>
  <c r="B10" i="2"/>
  <c r="K10" i="2" s="1"/>
  <c r="J2" i="2"/>
  <c r="I2" i="2"/>
  <c r="H2" i="2"/>
  <c r="G2" i="2"/>
  <c r="F2" i="2"/>
  <c r="E2" i="2"/>
  <c r="D2" i="2"/>
  <c r="C2" i="2"/>
  <c r="B2" i="2"/>
  <c r="K2" i="2" s="1"/>
  <c r="B12" i="10"/>
  <c r="B8" i="10"/>
  <c r="C6" i="10"/>
  <c r="B6" i="10"/>
  <c r="C14" i="10"/>
  <c r="B14" i="10"/>
  <c r="J48" i="2"/>
  <c r="I48" i="2"/>
  <c r="H48" i="2"/>
  <c r="G48" i="2"/>
  <c r="BE14" i="10"/>
  <c r="L80" i="10" s="1"/>
  <c r="BD14" i="10"/>
  <c r="K80" i="10" s="1"/>
  <c r="BC14" i="10"/>
  <c r="J80" i="10" s="1"/>
  <c r="BB14" i="10"/>
  <c r="I80" i="10" s="1"/>
  <c r="BA14" i="10"/>
  <c r="H80" i="10" s="1"/>
  <c r="K13" i="10"/>
  <c r="L13" i="10"/>
  <c r="J13" i="10"/>
  <c r="I13" i="10"/>
  <c r="H13" i="10"/>
  <c r="G13" i="10"/>
  <c r="F13" i="10"/>
  <c r="E13" i="10"/>
  <c r="L10" i="10"/>
  <c r="K10" i="10"/>
  <c r="J10" i="10"/>
  <c r="I10" i="10"/>
  <c r="H10" i="10"/>
  <c r="G10" i="10"/>
  <c r="F10" i="10"/>
  <c r="E10" i="10"/>
  <c r="BD5" i="10"/>
  <c r="BC5" i="10"/>
  <c r="BB5" i="10"/>
  <c r="BA5" i="10"/>
  <c r="AZ5" i="10"/>
  <c r="AY5" i="10"/>
  <c r="F71" i="10" s="1"/>
  <c r="AX5" i="10"/>
  <c r="E71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5" i="10" s="1"/>
  <c r="AF5" i="10"/>
  <c r="E45" i="10" s="1"/>
  <c r="AE5" i="10"/>
  <c r="AD5" i="10"/>
  <c r="L31" i="10" s="1"/>
  <c r="AC5" i="10"/>
  <c r="AB5" i="10"/>
  <c r="J31" i="10" s="1"/>
  <c r="AA5" i="10"/>
  <c r="I31" i="10" s="1"/>
  <c r="Z5" i="10"/>
  <c r="H31" i="10" s="1"/>
  <c r="Y5" i="10"/>
  <c r="G31" i="10" s="1"/>
  <c r="X5" i="10"/>
  <c r="F31" i="10" s="1"/>
  <c r="W5" i="10"/>
  <c r="E31" i="10" s="1"/>
  <c r="V5" i="10"/>
  <c r="U5" i="10"/>
  <c r="L18" i="10" s="1"/>
  <c r="T5" i="10"/>
  <c r="S5" i="10"/>
  <c r="J18" i="10" s="1"/>
  <c r="R5" i="10"/>
  <c r="I18" i="10" s="1"/>
  <c r="Q5" i="10"/>
  <c r="H18" i="10" s="1"/>
  <c r="P5" i="10"/>
  <c r="G18" i="10" s="1"/>
  <c r="O5" i="10"/>
  <c r="F18" i="10" s="1"/>
  <c r="N5" i="10"/>
  <c r="E18" i="10" s="1"/>
  <c r="M5" i="10"/>
  <c r="J33" i="2"/>
  <c r="J25" i="2"/>
  <c r="J17" i="2"/>
  <c r="J9" i="2"/>
  <c r="K8" i="2" l="1"/>
  <c r="K32" i="2"/>
  <c r="K31" i="2"/>
  <c r="K39" i="2"/>
  <c r="K7" i="2"/>
  <c r="K23" i="2"/>
  <c r="K30" i="2"/>
  <c r="K6" i="2"/>
  <c r="K46" i="2"/>
  <c r="K12" i="2"/>
  <c r="K36" i="2"/>
  <c r="K28" i="2"/>
  <c r="K44" i="2"/>
  <c r="K35" i="2"/>
  <c r="K3" i="2"/>
  <c r="B65" i="10"/>
  <c r="B78" i="10"/>
  <c r="B38" i="10"/>
  <c r="B52" i="10"/>
  <c r="B25" i="10"/>
  <c r="C12" i="10"/>
  <c r="B11" i="10"/>
  <c r="C11" i="10"/>
  <c r="B80" i="10"/>
  <c r="B40" i="10"/>
  <c r="B54" i="10"/>
  <c r="B27" i="10"/>
  <c r="B67" i="10"/>
  <c r="C80" i="10"/>
  <c r="C40" i="10"/>
  <c r="C67" i="10"/>
  <c r="C54" i="10"/>
  <c r="C27" i="10"/>
  <c r="B34" i="10"/>
  <c r="B21" i="10"/>
  <c r="B74" i="10"/>
  <c r="B61" i="10"/>
  <c r="B48" i="10"/>
  <c r="C8" i="10"/>
  <c r="B7" i="10"/>
  <c r="C7" i="10"/>
  <c r="O13" i="10"/>
  <c r="F26" i="10" s="1"/>
  <c r="AE13" i="10"/>
  <c r="AE10" i="10"/>
  <c r="AF10" i="10"/>
  <c r="E50" i="10" s="1"/>
  <c r="AP13" i="10"/>
  <c r="F66" i="10" s="1"/>
  <c r="F58" i="10"/>
  <c r="AO13" i="10"/>
  <c r="E66" i="10" s="1"/>
  <c r="E58" i="10"/>
  <c r="O10" i="10"/>
  <c r="F23" i="10" s="1"/>
  <c r="N13" i="10"/>
  <c r="E26" i="10" s="1"/>
  <c r="AR13" i="10"/>
  <c r="H66" i="10" s="1"/>
  <c r="H58" i="10"/>
  <c r="AG10" i="10"/>
  <c r="F50" i="10" s="1"/>
  <c r="AF13" i="10"/>
  <c r="E53" i="10" s="1"/>
  <c r="AL13" i="10"/>
  <c r="K53" i="10" s="1"/>
  <c r="K45" i="10"/>
  <c r="AS13" i="10"/>
  <c r="I66" i="10" s="1"/>
  <c r="I58" i="10"/>
  <c r="AW10" i="10"/>
  <c r="AG13" i="10"/>
  <c r="F53" i="10" s="1"/>
  <c r="AT13" i="10"/>
  <c r="J66" i="10" s="1"/>
  <c r="J58" i="10"/>
  <c r="AX10" i="10"/>
  <c r="E76" i="10" s="1"/>
  <c r="AW13" i="10"/>
  <c r="AV13" i="10"/>
  <c r="L66" i="10" s="1"/>
  <c r="L58" i="10"/>
  <c r="AY10" i="10"/>
  <c r="F76" i="10" s="1"/>
  <c r="AX13" i="10"/>
  <c r="E79" i="10" s="1"/>
  <c r="AY13" i="10"/>
  <c r="F79" i="10" s="1"/>
  <c r="AZ13" i="10"/>
  <c r="G79" i="10" s="1"/>
  <c r="G71" i="10"/>
  <c r="AQ13" i="10"/>
  <c r="G66" i="10" s="1"/>
  <c r="G58" i="10"/>
  <c r="AI13" i="10"/>
  <c r="H53" i="10" s="1"/>
  <c r="H45" i="10"/>
  <c r="BA13" i="10"/>
  <c r="H79" i="10" s="1"/>
  <c r="H71" i="10"/>
  <c r="AJ13" i="10"/>
  <c r="I53" i="10" s="1"/>
  <c r="I45" i="10"/>
  <c r="BB13" i="10"/>
  <c r="I79" i="10" s="1"/>
  <c r="I71" i="10"/>
  <c r="AK13" i="10"/>
  <c r="J53" i="10" s="1"/>
  <c r="J45" i="10"/>
  <c r="BC13" i="10"/>
  <c r="J79" i="10" s="1"/>
  <c r="J71" i="10"/>
  <c r="AH13" i="10"/>
  <c r="G53" i="10" s="1"/>
  <c r="G45" i="10"/>
  <c r="AM13" i="10"/>
  <c r="L53" i="10" s="1"/>
  <c r="L45" i="10"/>
  <c r="BD10" i="10"/>
  <c r="K76" i="10" s="1"/>
  <c r="K71" i="10"/>
  <c r="M10" i="10"/>
  <c r="AN13" i="10"/>
  <c r="N10" i="10"/>
  <c r="E23" i="10" s="1"/>
  <c r="M13" i="10"/>
  <c r="P10" i="10"/>
  <c r="G23" i="10" s="1"/>
  <c r="AH10" i="10"/>
  <c r="G50" i="10" s="1"/>
  <c r="AZ10" i="10"/>
  <c r="G76" i="10" s="1"/>
  <c r="P13" i="10"/>
  <c r="G26" i="10" s="1"/>
  <c r="Q10" i="10"/>
  <c r="H23" i="10" s="1"/>
  <c r="AI10" i="10"/>
  <c r="H50" i="10" s="1"/>
  <c r="BA10" i="10"/>
  <c r="H76" i="10" s="1"/>
  <c r="Q13" i="10"/>
  <c r="H26" i="10" s="1"/>
  <c r="R10" i="10"/>
  <c r="I23" i="10" s="1"/>
  <c r="AJ10" i="10"/>
  <c r="I50" i="10" s="1"/>
  <c r="BB10" i="10"/>
  <c r="I76" i="10" s="1"/>
  <c r="R13" i="10"/>
  <c r="I26" i="10" s="1"/>
  <c r="S10" i="10"/>
  <c r="J23" i="10" s="1"/>
  <c r="AK10" i="10"/>
  <c r="J50" i="10" s="1"/>
  <c r="BC10" i="10"/>
  <c r="J76" i="10" s="1"/>
  <c r="S13" i="10"/>
  <c r="J26" i="10" s="1"/>
  <c r="AC10" i="10"/>
  <c r="K36" i="10" s="1"/>
  <c r="K31" i="10"/>
  <c r="U10" i="10"/>
  <c r="L23" i="10" s="1"/>
  <c r="AM10" i="10"/>
  <c r="L50" i="10" s="1"/>
  <c r="U13" i="10"/>
  <c r="L26" i="10" s="1"/>
  <c r="V10" i="10"/>
  <c r="AN10" i="10"/>
  <c r="V13" i="10"/>
  <c r="D39" i="10" s="1"/>
  <c r="W10" i="10"/>
  <c r="E36" i="10" s="1"/>
  <c r="AO10" i="10"/>
  <c r="E63" i="10" s="1"/>
  <c r="W13" i="10"/>
  <c r="E39" i="10" s="1"/>
  <c r="X10" i="10"/>
  <c r="F36" i="10" s="1"/>
  <c r="AP10" i="10"/>
  <c r="F63" i="10" s="1"/>
  <c r="X13" i="10"/>
  <c r="F39" i="10" s="1"/>
  <c r="Y10" i="10"/>
  <c r="G36" i="10" s="1"/>
  <c r="AQ10" i="10"/>
  <c r="G63" i="10" s="1"/>
  <c r="Y13" i="10"/>
  <c r="G39" i="10" s="1"/>
  <c r="Z10" i="10"/>
  <c r="H36" i="10" s="1"/>
  <c r="AR10" i="10"/>
  <c r="H63" i="10" s="1"/>
  <c r="Z13" i="10"/>
  <c r="H39" i="10" s="1"/>
  <c r="AA10" i="10"/>
  <c r="I36" i="10" s="1"/>
  <c r="AS10" i="10"/>
  <c r="I63" i="10" s="1"/>
  <c r="AA13" i="10"/>
  <c r="I39" i="10" s="1"/>
  <c r="T10" i="10"/>
  <c r="K23" i="10" s="1"/>
  <c r="K18" i="10"/>
  <c r="AB10" i="10"/>
  <c r="J36" i="10" s="1"/>
  <c r="AT10" i="10"/>
  <c r="J63" i="10" s="1"/>
  <c r="AB13" i="10"/>
  <c r="J39" i="10" s="1"/>
  <c r="AD10" i="10"/>
  <c r="L36" i="10" s="1"/>
  <c r="AV10" i="10"/>
  <c r="L63" i="10" s="1"/>
  <c r="AD13" i="10"/>
  <c r="L39" i="10" s="1"/>
  <c r="AU5" i="10"/>
  <c r="AU10" i="10" s="1"/>
  <c r="K63" i="10" s="1"/>
  <c r="I25" i="2"/>
  <c r="AC13" i="10"/>
  <c r="K39" i="10" s="1"/>
  <c r="AL10" i="10"/>
  <c r="K50" i="10" s="1"/>
  <c r="T13" i="10"/>
  <c r="K26" i="10" s="1"/>
  <c r="BD13" i="10"/>
  <c r="K79" i="10" s="1"/>
  <c r="BE5" i="10"/>
  <c r="L71" i="10" s="1"/>
  <c r="C65" i="10" l="1"/>
  <c r="C78" i="10"/>
  <c r="C38" i="10"/>
  <c r="C52" i="10"/>
  <c r="C25" i="10"/>
  <c r="C51" i="10"/>
  <c r="C64" i="10"/>
  <c r="C24" i="10"/>
  <c r="C77" i="10"/>
  <c r="C37" i="10"/>
  <c r="B51" i="10"/>
  <c r="B64" i="10"/>
  <c r="B77" i="10"/>
  <c r="B37" i="10"/>
  <c r="B24" i="10"/>
  <c r="C34" i="10"/>
  <c r="C61" i="10"/>
  <c r="C74" i="10"/>
  <c r="C21" i="10"/>
  <c r="C48" i="10"/>
  <c r="C20" i="10"/>
  <c r="C33" i="10"/>
  <c r="C60" i="10"/>
  <c r="C47" i="10"/>
  <c r="C73" i="10"/>
  <c r="B20" i="10"/>
  <c r="B73" i="10"/>
  <c r="B33" i="10"/>
  <c r="B47" i="10"/>
  <c r="B60" i="10"/>
  <c r="B72" i="10"/>
  <c r="B46" i="10"/>
  <c r="B32" i="10"/>
  <c r="B19" i="10"/>
  <c r="B59" i="10"/>
  <c r="C19" i="10"/>
  <c r="C32" i="10"/>
  <c r="C46" i="10"/>
  <c r="C72" i="10"/>
  <c r="C59" i="10"/>
  <c r="AU13" i="10"/>
  <c r="K66" i="10" s="1"/>
  <c r="K58" i="10"/>
  <c r="BE13" i="10"/>
  <c r="L79" i="10" s="1"/>
  <c r="BE10" i="10"/>
  <c r="L76" i="10" s="1"/>
  <c r="H41" i="2" l="1"/>
  <c r="H33" i="2"/>
  <c r="H25" i="2"/>
  <c r="H17" i="2"/>
  <c r="G41" i="2" l="1"/>
  <c r="G33" i="2"/>
  <c r="G25" i="2"/>
  <c r="G17" i="2"/>
  <c r="C33" i="2"/>
  <c r="D33" i="2"/>
  <c r="E33" i="2"/>
  <c r="F33" i="2"/>
  <c r="F41" i="2"/>
  <c r="D41" i="2"/>
  <c r="E25" i="2"/>
  <c r="E41" i="2"/>
  <c r="C41" i="2"/>
  <c r="B41" i="2"/>
  <c r="B33" i="2"/>
  <c r="D25" i="2"/>
  <c r="F25" i="2"/>
  <c r="C25" i="2"/>
  <c r="B25" i="2"/>
  <c r="E17" i="2"/>
  <c r="D17" i="2"/>
  <c r="F17" i="2"/>
  <c r="C17" i="2"/>
  <c r="B17" i="2"/>
  <c r="J41" i="2" l="1"/>
</calcChain>
</file>

<file path=xl/sharedStrings.xml><?xml version="1.0" encoding="utf-8"?>
<sst xmlns="http://schemas.openxmlformats.org/spreadsheetml/2006/main" count="545" uniqueCount="112">
  <si>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</si>
  <si>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</si>
  <si>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</si>
  <si>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</si>
  <si>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</si>
  <si>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</si>
  <si>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</si>
  <si>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</si>
  <si>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</si>
  <si>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</si>
  <si>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</si>
  <si>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</si>
  <si>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</si>
  <si>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</si>
  <si>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</si>
  <si>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</si>
  <si>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</si>
  <si>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</si>
  <si>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</si>
  <si>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</si>
  <si>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</si>
  <si>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</si>
  <si>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</si>
  <si>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</si>
  <si>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</si>
  <si>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 xml:space="preserve"> </t>
  </si>
  <si>
    <t>slope</t>
  </si>
  <si>
    <t>sig.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</si>
  <si>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</si>
  <si>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</si>
  <si>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</si>
  <si>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</si>
  <si>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</si>
  <si>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</si>
  <si>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</si>
  <si>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</si>
  <si>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</si>
  <si>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</si>
  <si>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</si>
  <si>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</si>
  <si>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</si>
  <si>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</si>
  <si>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</si>
  <si>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</si>
  <si>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</si>
  <si>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</si>
  <si>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</si>
  <si>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</si>
  <si>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</si>
  <si>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</si>
  <si>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</si>
  <si>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</si>
  <si>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</si>
  <si>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</si>
  <si>
    <r>
      <t xml:space="preserve">mean </t>
    </r>
    <r>
      <rPr>
        <i/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0</t>
    </r>
  </si>
  <si>
    <t>log(ST/sec)</t>
  </si>
  <si>
    <t>2.5%  CI</t>
  </si>
  <si>
    <t>β0</t>
  </si>
  <si>
    <t>l_f0</t>
  </si>
  <si>
    <t>h_f0</t>
  </si>
  <si>
    <t>lh_exc</t>
  </si>
  <si>
    <t>lh_mean_f0</t>
  </si>
  <si>
    <t>l_t</t>
  </si>
  <si>
    <t>h_t</t>
  </si>
  <si>
    <t>lh_slope</t>
  </si>
  <si>
    <t xml:space="preserve">R2m </t>
  </si>
  <si>
    <t xml:space="preserve">R2c </t>
  </si>
  <si>
    <t>p.adj</t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</si>
  <si>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 xml:space="preserve">m </t>
    </r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</si>
  <si>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 xml:space="preserve">c </t>
    </r>
  </si>
  <si>
    <t>est.</t>
  </si>
  <si>
    <t>MDC, MWH</t>
  </si>
  <si>
    <t>MDC, MYN</t>
  </si>
  <si>
    <t>MDC, MDQ</t>
  </si>
  <si>
    <t>MWH, MYN</t>
  </si>
  <si>
    <t>MWH, MDQ</t>
  </si>
  <si>
    <t>MYN, MDQ</t>
  </si>
  <si>
    <t>p.adj.</t>
  </si>
  <si>
    <r>
      <t>L_f</t>
    </r>
    <r>
      <rPr>
        <vertAlign val="subscript"/>
        <sz val="10"/>
        <color rgb="FF000000"/>
        <rFont val="Times New Roman"/>
        <family val="1"/>
      </rPr>
      <t>0</t>
    </r>
  </si>
  <si>
    <r>
      <t>H_f</t>
    </r>
    <r>
      <rPr>
        <vertAlign val="subscript"/>
        <sz val="10"/>
        <color rgb="FF000000"/>
        <rFont val="Times New Roman"/>
        <family val="1"/>
      </rPr>
      <t>0</t>
    </r>
  </si>
  <si>
    <r>
      <t xml:space="preserve">mean </t>
    </r>
    <r>
      <rPr>
        <i/>
        <sz val="10"/>
        <color rgb="FF000000"/>
        <rFont val="Times New Roman"/>
        <family val="1"/>
      </rPr>
      <t>f</t>
    </r>
    <r>
      <rPr>
        <vertAlign val="subscript"/>
        <sz val="10"/>
        <color rgb="FF000000"/>
        <rFont val="Times New Roman"/>
        <family val="1"/>
      </rPr>
      <t>0</t>
    </r>
  </si>
  <si>
    <t>07.5% CI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</si>
  <si>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</si>
  <si>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t>H_Time (ms)</t>
  </si>
  <si>
    <t>L_time (ms)</t>
  </si>
  <si>
    <t>signif.</t>
  </si>
  <si>
    <t>p.adj (BH)</t>
  </si>
  <si>
    <t>p.value</t>
  </si>
  <si>
    <t>z.value</t>
  </si>
  <si>
    <t>estimate</t>
  </si>
  <si>
    <t xml:space="preserve">     </t>
  </si>
  <si>
    <t>CI delta</t>
  </si>
  <si>
    <t>mode</t>
  </si>
  <si>
    <t>Slope no phonology</t>
  </si>
  <si>
    <t>Slope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</si>
  <si>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</si>
  <si>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</si>
  <si>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</si>
  <si>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t>Slope (no phonology)</t>
  </si>
  <si>
    <r>
      <t>L_f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</si>
  <si>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r>
      <t>H_f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</si>
  <si>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t>intercept</t>
  </si>
  <si>
    <t>conf.low</t>
  </si>
  <si>
    <t>conf.high</t>
  </si>
  <si>
    <t>MYN,  MDQ</t>
  </si>
  <si>
    <t>CI diff</t>
  </si>
  <si>
    <t>mean f0</t>
  </si>
  <si>
    <t>diff</t>
  </si>
  <si>
    <t>SD</t>
  </si>
  <si>
    <t>mode-only</t>
  </si>
  <si>
    <t>mode+phon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</si>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</sst>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E+00"/>
  </numFmts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  <font>
      <i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20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2604449598681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/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/>
      <diagonal/>
    </border>
    <border>
      <left/>
      <right/>
      <top/>
      <bottom style="medium">
        <color rgb="FFD0CECE"/>
      </bottom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 style="thick">
        <color theme="2" tint="-9.9917600024414813E-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ck">
        <color theme="2" tint="-9.985656300546282E-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363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4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 vertical="center" wrapText="1"/>
    </xf>
    <xf numFmtId="165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2" fontId="8" fillId="0" borderId="5" xfId="0" applyNumberFormat="1" applyFont="1" applyFill="1" applyBorder="1" applyAlignment="1">
      <alignment horizontal="right" vertical="center" wrapText="1"/>
    </xf>
    <xf numFmtId="164" fontId="8" fillId="0" borderId="8" xfId="0" applyNumberFormat="1" applyFont="1" applyFill="1" applyBorder="1" applyAlignment="1">
      <alignment horizontal="right" vertical="center" wrapText="1"/>
    </xf>
    <xf numFmtId="2" fontId="8" fillId="0" borderId="8" xfId="0" applyNumberFormat="1" applyFont="1" applyFill="1" applyBorder="1" applyAlignment="1">
      <alignment horizontal="right" vertical="center" wrapText="1"/>
    </xf>
    <xf numFmtId="2" fontId="8" fillId="0" borderId="15" xfId="0" applyNumberFormat="1" applyFont="1" applyFill="1" applyBorder="1" applyAlignment="1">
      <alignment horizontal="right" vertical="center" wrapText="1"/>
    </xf>
    <xf numFmtId="164" fontId="8" fillId="0" borderId="5" xfId="0" applyNumberFormat="1" applyFont="1" applyFill="1" applyBorder="1" applyAlignment="1">
      <alignment horizontal="right" vertical="center" wrapText="1"/>
    </xf>
    <xf numFmtId="2" fontId="8" fillId="0" borderId="16" xfId="0" applyNumberFormat="1" applyFont="1" applyFill="1" applyBorder="1" applyAlignment="1">
      <alignment horizontal="right" vertical="center" wrapText="1"/>
    </xf>
    <xf numFmtId="164" fontId="8" fillId="0" borderId="6" xfId="0" applyNumberFormat="1" applyFont="1" applyFill="1" applyBorder="1" applyAlignment="1">
      <alignment horizontal="right" vertical="center" wrapText="1"/>
    </xf>
    <xf numFmtId="2" fontId="8" fillId="0" borderId="6" xfId="0" applyNumberFormat="1" applyFont="1" applyFill="1" applyBorder="1" applyAlignment="1">
      <alignment horizontal="right" vertical="center" wrapText="1"/>
    </xf>
    <xf numFmtId="2" fontId="8" fillId="0" borderId="17" xfId="0" applyNumberFormat="1" applyFont="1" applyFill="1" applyBorder="1" applyAlignment="1">
      <alignment horizontal="right" vertical="center" wrapText="1"/>
    </xf>
    <xf numFmtId="1" fontId="8" fillId="0" borderId="8" xfId="0" applyNumberFormat="1" applyFont="1" applyFill="1" applyBorder="1" applyAlignment="1">
      <alignment horizontal="right" vertical="center" wrapText="1"/>
    </xf>
    <xf numFmtId="164" fontId="8" fillId="0" borderId="15" xfId="0" applyNumberFormat="1" applyFont="1" applyFill="1" applyBorder="1" applyAlignment="1">
      <alignment horizontal="right" vertical="center" wrapText="1"/>
    </xf>
    <xf numFmtId="1" fontId="8" fillId="0" borderId="6" xfId="0" applyNumberFormat="1" applyFont="1" applyFill="1" applyBorder="1" applyAlignment="1">
      <alignment horizontal="right" vertical="center" wrapText="1"/>
    </xf>
    <xf numFmtId="164" fontId="8" fillId="0" borderId="17" xfId="0" applyNumberFormat="1" applyFont="1" applyFill="1" applyBorder="1" applyAlignment="1">
      <alignment horizontal="right" vertical="center" wrapText="1"/>
    </xf>
    <xf numFmtId="2" fontId="8" fillId="0" borderId="18" xfId="0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horizontal="right" vertical="center" wrapText="1"/>
    </xf>
    <xf numFmtId="11" fontId="14" fillId="0" borderId="12" xfId="0" applyNumberFormat="1" applyFont="1" applyFill="1" applyBorder="1" applyAlignment="1">
      <alignment horizontal="right" vertical="center" wrapText="1"/>
    </xf>
    <xf numFmtId="2" fontId="7" fillId="0" borderId="9" xfId="0" applyNumberFormat="1" applyFont="1" applyFill="1" applyBorder="1" applyAlignment="1">
      <alignment horizontal="right" vertical="center" wrapText="1"/>
    </xf>
    <xf numFmtId="165" fontId="7" fillId="0" borderId="9" xfId="0" applyNumberFormat="1" applyFont="1" applyFill="1" applyBorder="1" applyAlignment="1">
      <alignment horizontal="right" vertical="center" wrapText="1"/>
    </xf>
    <xf numFmtId="2" fontId="7" fillId="0" borderId="13" xfId="0" applyNumberFormat="1" applyFont="1" applyFill="1" applyBorder="1" applyAlignment="1">
      <alignment horizontal="right" vertical="center" wrapText="1"/>
    </xf>
    <xf numFmtId="0" fontId="7" fillId="0" borderId="9" xfId="0" applyNumberFormat="1" applyFont="1" applyFill="1" applyBorder="1" applyAlignment="1">
      <alignment horizontal="right" vertical="center" wrapText="1"/>
    </xf>
    <xf numFmtId="165" fontId="7" fillId="0" borderId="14" xfId="0" applyNumberFormat="1" applyFont="1" applyFill="1" applyBorder="1" applyAlignment="1">
      <alignment horizontal="right" vertical="center" wrapText="1"/>
    </xf>
    <xf numFmtId="0" fontId="7" fillId="0" borderId="14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166" fontId="8" fillId="0" borderId="7" xfId="0" applyNumberFormat="1" applyFont="1" applyFill="1" applyBorder="1" applyAlignment="1">
      <alignment horizontal="right" vertical="center" wrapText="1"/>
    </xf>
    <xf numFmtId="11" fontId="14" fillId="0" borderId="19" xfId="0" applyNumberFormat="1" applyFont="1" applyFill="1" applyBorder="1" applyAlignment="1">
      <alignment horizontal="right" vertical="center" wrapText="1"/>
    </xf>
    <xf numFmtId="2" fontId="7" fillId="0" borderId="0" xfId="0" applyNumberFormat="1" applyFont="1" applyFill="1" applyBorder="1" applyAlignment="1">
      <alignment horizontal="right" vertical="center" wrapText="1"/>
    </xf>
    <xf numFmtId="1" fontId="0" fillId="0" borderId="2" xfId="0" applyNumberFormat="1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1" fontId="4" fillId="0" borderId="3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2" fillId="0" borderId="0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4" fillId="0" borderId="3" xfId="0" applyNumberFormat="1" applyFont="1" applyBorder="1" applyAlignment="1">
      <alignment horizontal="right" vertical="center" wrapText="1"/>
    </xf>
    <xf numFmtId="11" fontId="14" fillId="0" borderId="0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1" fontId="14" fillId="0" borderId="7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2" fontId="15" fillId="0" borderId="0" xfId="0" applyNumberFormat="1" applyFont="1" applyFill="1" applyBorder="1" applyAlignment="1">
      <alignment horizontal="left" vertical="top" wrapText="1"/>
    </xf>
    <xf numFmtId="2" fontId="11" fillId="0" borderId="0" xfId="0" applyNumberFormat="1" applyFont="1" applyFill="1" applyBorder="1" applyAlignment="1">
      <alignment horizontal="left" wrapText="1"/>
    </xf>
    <xf numFmtId="2" fontId="11" fillId="0" borderId="0" xfId="0" applyNumberFormat="1" applyFont="1" applyFill="1" applyAlignment="1">
      <alignment horizontal="left"/>
    </xf>
    <xf numFmtId="0" fontId="11" fillId="0" borderId="0" xfId="0" applyNumberFormat="1" applyFont="1" applyFill="1" applyAlignment="1">
      <alignment horizontal="left"/>
    </xf>
    <xf numFmtId="2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165" fontId="17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2" fontId="8" fillId="0" borderId="20" xfId="0" applyNumberFormat="1" applyFont="1" applyBorder="1" applyAlignment="1">
      <alignment horizontal="right" vertical="center" wrapText="1"/>
    </xf>
    <xf numFmtId="0" fontId="14" fillId="0" borderId="21" xfId="0" applyFont="1" applyBorder="1" applyAlignment="1">
      <alignment horizontal="right" vertical="center" wrapText="1"/>
    </xf>
    <xf numFmtId="166" fontId="19" fillId="0" borderId="0" xfId="0" applyNumberFormat="1" applyFont="1" applyAlignment="1">
      <alignment horizontal="right" vertical="center" wrapText="1"/>
    </xf>
    <xf numFmtId="166" fontId="8" fillId="0" borderId="0" xfId="0" applyNumberFormat="1" applyFont="1" applyAlignment="1">
      <alignment horizontal="right" vertical="center" wrapText="1"/>
    </xf>
    <xf numFmtId="2" fontId="8" fillId="0" borderId="22" xfId="0" applyNumberFormat="1" applyFont="1" applyBorder="1" applyAlignment="1">
      <alignment horizontal="right" vertical="center" wrapText="1"/>
    </xf>
    <xf numFmtId="0" fontId="14" fillId="0" borderId="23" xfId="0" applyFont="1" applyBorder="1" applyAlignment="1">
      <alignment horizontal="right" vertical="center" wrapText="1"/>
    </xf>
    <xf numFmtId="166" fontId="8" fillId="0" borderId="24" xfId="0" applyNumberFormat="1" applyFont="1" applyBorder="1" applyAlignment="1">
      <alignment horizontal="right" vertical="center" wrapText="1"/>
    </xf>
    <xf numFmtId="2" fontId="8" fillId="0" borderId="24" xfId="0" applyNumberFormat="1" applyFont="1" applyBorder="1" applyAlignment="1">
      <alignment horizontal="right" vertical="center" wrapText="1"/>
    </xf>
    <xf numFmtId="164" fontId="8" fillId="0" borderId="24" xfId="0" applyNumberFormat="1" applyFont="1" applyBorder="1" applyAlignment="1">
      <alignment horizontal="right" vertical="center" wrapText="1"/>
    </xf>
    <xf numFmtId="2" fontId="8" fillId="0" borderId="25" xfId="0" applyNumberFormat="1" applyFont="1" applyBorder="1" applyAlignment="1">
      <alignment horizontal="right" vertical="center" wrapText="1"/>
    </xf>
    <xf numFmtId="2" fontId="7" fillId="0" borderId="26" xfId="0" applyNumberFormat="1" applyFont="1" applyBorder="1" applyAlignment="1">
      <alignment horizontal="right" vertical="center" wrapText="1"/>
    </xf>
    <xf numFmtId="2" fontId="7" fillId="0" borderId="27" xfId="0" applyNumberFormat="1" applyFont="1" applyBorder="1" applyAlignment="1">
      <alignment horizontal="right" vertical="center" wrapText="1"/>
    </xf>
    <xf numFmtId="0" fontId="7" fillId="0" borderId="28" xfId="0" applyFont="1" applyBorder="1" applyAlignment="1">
      <alignment horizontal="right" vertical="center" wrapText="1"/>
    </xf>
    <xf numFmtId="0" fontId="7" fillId="0" borderId="26" xfId="0" applyFont="1" applyBorder="1" applyAlignment="1">
      <alignment horizontal="right" vertical="center" wrapText="1"/>
    </xf>
    <xf numFmtId="2" fontId="7" fillId="0" borderId="29" xfId="0" applyNumberFormat="1" applyFont="1" applyBorder="1" applyAlignment="1">
      <alignment horizontal="right" vertical="center" wrapText="1"/>
    </xf>
    <xf numFmtId="0" fontId="7" fillId="0" borderId="30" xfId="0" applyFont="1" applyBorder="1" applyAlignment="1">
      <alignment horizontal="right" vertical="center" wrapText="1"/>
    </xf>
    <xf numFmtId="2" fontId="7" fillId="0" borderId="31" xfId="0" applyNumberFormat="1" applyFont="1" applyBorder="1" applyAlignment="1">
      <alignment horizontal="right" vertical="center" wrapText="1"/>
    </xf>
    <xf numFmtId="2" fontId="8" fillId="0" borderId="32" xfId="0" applyNumberFormat="1" applyFont="1" applyBorder="1" applyAlignment="1">
      <alignment horizontal="right" vertical="center" wrapText="1"/>
    </xf>
    <xf numFmtId="2" fontId="8" fillId="0" borderId="33" xfId="0" applyNumberFormat="1" applyFont="1" applyBorder="1" applyAlignment="1">
      <alignment horizontal="right" vertical="center" wrapText="1"/>
    </xf>
    <xf numFmtId="0" fontId="14" fillId="0" borderId="34" xfId="0" applyFont="1" applyBorder="1" applyAlignment="1">
      <alignment horizontal="right" vertical="center" wrapText="1"/>
    </xf>
    <xf numFmtId="166" fontId="19" fillId="0" borderId="32" xfId="0" applyNumberFormat="1" applyFont="1" applyBorder="1" applyAlignment="1">
      <alignment horizontal="right" vertical="center" wrapText="1"/>
    </xf>
    <xf numFmtId="1" fontId="8" fillId="0" borderId="33" xfId="0" applyNumberFormat="1" applyFont="1" applyBorder="1" applyAlignment="1">
      <alignment horizontal="right" vertical="center" wrapText="1"/>
    </xf>
    <xf numFmtId="166" fontId="8" fillId="0" borderId="32" xfId="0" applyNumberFormat="1" applyFont="1" applyBorder="1" applyAlignment="1">
      <alignment horizontal="right" vertical="center" wrapText="1"/>
    </xf>
    <xf numFmtId="1" fontId="8" fillId="0" borderId="35" xfId="0" applyNumberFormat="1" applyFont="1" applyBorder="1" applyAlignment="1">
      <alignment horizontal="right" vertical="center" wrapText="1"/>
    </xf>
    <xf numFmtId="0" fontId="14" fillId="0" borderId="36" xfId="0" applyFont="1" applyBorder="1" applyAlignment="1">
      <alignment horizontal="right" vertical="center" wrapText="1"/>
    </xf>
    <xf numFmtId="164" fontId="8" fillId="0" borderId="32" xfId="0" applyNumberFormat="1" applyFont="1" applyBorder="1" applyAlignment="1">
      <alignment horizontal="right" vertical="center" wrapText="1"/>
    </xf>
    <xf numFmtId="1" fontId="8" fillId="0" borderId="37" xfId="0" applyNumberFormat="1" applyFont="1" applyBorder="1" applyAlignment="1">
      <alignment horizontal="right" vertical="center" wrapText="1"/>
    </xf>
    <xf numFmtId="1" fontId="8" fillId="0" borderId="32" xfId="0" applyNumberFormat="1" applyFont="1" applyBorder="1" applyAlignment="1">
      <alignment horizontal="right" vertical="center" wrapText="1"/>
    </xf>
    <xf numFmtId="2" fontId="8" fillId="0" borderId="7" xfId="0" applyNumberFormat="1" applyFont="1" applyBorder="1" applyAlignment="1">
      <alignment horizontal="right" vertical="center" wrapText="1"/>
    </xf>
    <xf numFmtId="2" fontId="8" fillId="0" borderId="38" xfId="0" applyNumberFormat="1" applyFont="1" applyBorder="1" applyAlignment="1">
      <alignment horizontal="right" vertical="center" wrapText="1"/>
    </xf>
    <xf numFmtId="0" fontId="14" fillId="0" borderId="39" xfId="0" applyFont="1" applyBorder="1" applyAlignment="1">
      <alignment horizontal="right" vertical="center" wrapText="1"/>
    </xf>
    <xf numFmtId="166" fontId="19" fillId="0" borderId="7" xfId="0" applyNumberFormat="1" applyFont="1" applyBorder="1" applyAlignment="1">
      <alignment horizontal="right" vertical="center" wrapText="1"/>
    </xf>
    <xf numFmtId="1" fontId="8" fillId="0" borderId="38" xfId="0" applyNumberFormat="1" applyFont="1" applyBorder="1" applyAlignment="1">
      <alignment horizontal="right" vertical="center" wrapText="1"/>
    </xf>
    <xf numFmtId="166" fontId="8" fillId="0" borderId="7" xfId="0" applyNumberFormat="1" applyFont="1" applyBorder="1" applyAlignment="1">
      <alignment horizontal="right" vertical="center" wrapText="1"/>
    </xf>
    <xf numFmtId="1" fontId="8" fillId="0" borderId="40" xfId="0" applyNumberFormat="1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164" fontId="8" fillId="0" borderId="7" xfId="0" applyNumberFormat="1" applyFont="1" applyBorder="1" applyAlignment="1">
      <alignment horizontal="right" vertical="center" wrapText="1"/>
    </xf>
    <xf numFmtId="1" fontId="8" fillId="0" borderId="41" xfId="0" applyNumberFormat="1" applyFont="1" applyBorder="1" applyAlignment="1">
      <alignment horizontal="right" vertical="center" wrapText="1"/>
    </xf>
    <xf numFmtId="1" fontId="8" fillId="0" borderId="7" xfId="0" applyNumberFormat="1" applyFont="1" applyBorder="1" applyAlignment="1">
      <alignment horizontal="right" vertical="center" wrapText="1"/>
    </xf>
    <xf numFmtId="164" fontId="17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164" fontId="8" fillId="0" borderId="33" xfId="0" applyNumberFormat="1" applyFont="1" applyBorder="1" applyAlignment="1">
      <alignment horizontal="right" vertical="center" wrapText="1"/>
    </xf>
    <xf numFmtId="164" fontId="8" fillId="0" borderId="35" xfId="0" applyNumberFormat="1" applyFont="1" applyBorder="1" applyAlignment="1">
      <alignment horizontal="right" vertical="center" wrapText="1"/>
    </xf>
    <xf numFmtId="164" fontId="8" fillId="0" borderId="37" xfId="0" applyNumberFormat="1" applyFont="1" applyBorder="1" applyAlignment="1">
      <alignment horizontal="right" vertical="center" wrapText="1"/>
    </xf>
    <xf numFmtId="164" fontId="8" fillId="0" borderId="6" xfId="0" applyNumberFormat="1" applyFont="1" applyBorder="1" applyAlignment="1">
      <alignment horizontal="right" vertical="center" wrapText="1"/>
    </xf>
    <xf numFmtId="1" fontId="17" fillId="0" borderId="0" xfId="0" applyNumberFormat="1" applyFont="1" applyAlignment="1">
      <alignment horizontal="center"/>
    </xf>
    <xf numFmtId="2" fontId="8" fillId="0" borderId="42" xfId="0" applyNumberFormat="1" applyFont="1" applyBorder="1" applyAlignment="1">
      <alignment horizontal="right" vertical="center" wrapText="1"/>
    </xf>
    <xf numFmtId="2" fontId="8" fillId="0" borderId="43" xfId="0" applyNumberFormat="1" applyFont="1" applyBorder="1" applyAlignment="1">
      <alignment horizontal="right" vertical="center" wrapText="1"/>
    </xf>
    <xf numFmtId="0" fontId="14" fillId="0" borderId="44" xfId="0" applyFont="1" applyBorder="1" applyAlignment="1">
      <alignment horizontal="right" vertical="center" wrapText="1"/>
    </xf>
    <xf numFmtId="166" fontId="19" fillId="0" borderId="42" xfId="0" applyNumberFormat="1" applyFont="1" applyBorder="1" applyAlignment="1">
      <alignment horizontal="right" vertical="center" wrapText="1"/>
    </xf>
    <xf numFmtId="164" fontId="8" fillId="0" borderId="43" xfId="0" applyNumberFormat="1" applyFont="1" applyBorder="1" applyAlignment="1">
      <alignment horizontal="right" vertical="center" wrapText="1"/>
    </xf>
    <xf numFmtId="166" fontId="8" fillId="0" borderId="42" xfId="0" applyNumberFormat="1" applyFont="1" applyBorder="1" applyAlignment="1">
      <alignment horizontal="right" vertical="center" wrapText="1"/>
    </xf>
    <xf numFmtId="164" fontId="8" fillId="0" borderId="45" xfId="0" applyNumberFormat="1" applyFont="1" applyBorder="1" applyAlignment="1">
      <alignment horizontal="right" vertical="center" wrapText="1"/>
    </xf>
    <xf numFmtId="0" fontId="14" fillId="0" borderId="46" xfId="0" applyFont="1" applyBorder="1" applyAlignment="1">
      <alignment horizontal="right" vertical="center" wrapText="1"/>
    </xf>
    <xf numFmtId="164" fontId="8" fillId="0" borderId="47" xfId="0" applyNumberFormat="1" applyFont="1" applyBorder="1" applyAlignment="1">
      <alignment horizontal="right" vertical="center" wrapText="1"/>
    </xf>
    <xf numFmtId="164" fontId="8" fillId="0" borderId="42" xfId="0" applyNumberFormat="1" applyFont="1" applyBorder="1" applyAlignment="1">
      <alignment horizontal="right" vertical="center" wrapText="1"/>
    </xf>
    <xf numFmtId="11" fontId="14" fillId="0" borderId="39" xfId="0" applyNumberFormat="1" applyFont="1" applyBorder="1" applyAlignment="1">
      <alignment horizontal="right" vertical="center" wrapText="1"/>
    </xf>
    <xf numFmtId="164" fontId="8" fillId="0" borderId="38" xfId="0" applyNumberFormat="1" applyFont="1" applyBorder="1" applyAlignment="1">
      <alignment horizontal="right" vertical="center" wrapText="1"/>
    </xf>
    <xf numFmtId="2" fontId="8" fillId="0" borderId="40" xfId="0" applyNumberFormat="1" applyFont="1" applyBorder="1" applyAlignment="1">
      <alignment horizontal="right" vertical="center" wrapText="1"/>
    </xf>
    <xf numFmtId="11" fontId="14" fillId="0" borderId="12" xfId="0" applyNumberFormat="1" applyFont="1" applyBorder="1" applyAlignment="1">
      <alignment horizontal="right" vertical="center" wrapText="1"/>
    </xf>
    <xf numFmtId="164" fontId="8" fillId="0" borderId="41" xfId="0" applyNumberFormat="1" applyFont="1" applyBorder="1" applyAlignment="1">
      <alignment horizontal="right" vertical="center" wrapText="1"/>
    </xf>
    <xf numFmtId="2" fontId="7" fillId="0" borderId="48" xfId="0" applyNumberFormat="1" applyFont="1" applyBorder="1" applyAlignment="1">
      <alignment horizontal="right" vertical="center" wrapText="1"/>
    </xf>
    <xf numFmtId="2" fontId="7" fillId="0" borderId="49" xfId="0" applyNumberFormat="1" applyFont="1" applyBorder="1" applyAlignment="1">
      <alignment horizontal="right" vertical="center" wrapText="1"/>
    </xf>
    <xf numFmtId="0" fontId="7" fillId="0" borderId="50" xfId="0" applyFont="1" applyBorder="1" applyAlignment="1">
      <alignment horizontal="right" vertical="center" wrapText="1"/>
    </xf>
    <xf numFmtId="0" fontId="7" fillId="0" borderId="48" xfId="0" applyFont="1" applyBorder="1" applyAlignment="1">
      <alignment horizontal="right" vertical="center" wrapText="1"/>
    </xf>
    <xf numFmtId="165" fontId="7" fillId="0" borderId="48" xfId="0" applyNumberFormat="1" applyFont="1" applyBorder="1" applyAlignment="1">
      <alignment horizontal="right" vertical="center" wrapText="1"/>
    </xf>
    <xf numFmtId="2" fontId="7" fillId="0" borderId="51" xfId="0" applyNumberFormat="1" applyFont="1" applyBorder="1" applyAlignment="1">
      <alignment horizontal="right" vertical="center" wrapText="1"/>
    </xf>
    <xf numFmtId="0" fontId="7" fillId="0" borderId="52" xfId="0" applyFont="1" applyBorder="1" applyAlignment="1">
      <alignment horizontal="right" vertical="center" wrapText="1"/>
    </xf>
    <xf numFmtId="11" fontId="7" fillId="0" borderId="48" xfId="0" applyNumberFormat="1" applyFont="1" applyBorder="1" applyAlignment="1">
      <alignment horizontal="right" vertical="center" wrapText="1"/>
    </xf>
    <xf numFmtId="2" fontId="7" fillId="0" borderId="53" xfId="0" applyNumberFormat="1" applyFont="1" applyBorder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2" fontId="18" fillId="0" borderId="0" xfId="0" applyNumberFormat="1" applyFont="1" applyBorder="1" applyAlignment="1">
      <alignment horizontal="right"/>
    </xf>
    <xf numFmtId="165" fontId="18" fillId="0" borderId="0" xfId="0" applyNumberFormat="1" applyFont="1" applyBorder="1" applyAlignment="1">
      <alignment horizontal="right"/>
    </xf>
    <xf numFmtId="2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2" fillId="0" borderId="48" xfId="0" applyNumberFormat="1" applyFont="1" applyBorder="1" applyAlignment="1">
      <alignment horizontal="right" vertical="center" wrapText="1"/>
    </xf>
    <xf numFmtId="0" fontId="22" fillId="0" borderId="48" xfId="0" applyFont="1" applyBorder="1" applyAlignment="1">
      <alignment horizontal="right" vertical="center" wrapText="1"/>
    </xf>
    <xf numFmtId="164" fontId="24" fillId="0" borderId="63" xfId="0" applyNumberFormat="1" applyFont="1" applyBorder="1" applyAlignment="1">
      <alignment horizontal="right" vertical="center" wrapText="1"/>
    </xf>
    <xf numFmtId="2" fontId="24" fillId="0" borderId="63" xfId="0" applyNumberFormat="1" applyFont="1" applyBorder="1" applyAlignment="1">
      <alignment horizontal="right" vertical="center" wrapText="1"/>
    </xf>
    <xf numFmtId="167" fontId="24" fillId="0" borderId="63" xfId="0" applyNumberFormat="1" applyFont="1" applyBorder="1" applyAlignment="1">
      <alignment horizontal="right" vertical="center" wrapText="1"/>
    </xf>
    <xf numFmtId="165" fontId="24" fillId="0" borderId="63" xfId="0" applyNumberFormat="1" applyFont="1" applyBorder="1" applyAlignment="1">
      <alignment horizontal="right" vertical="center" wrapText="1"/>
    </xf>
    <xf numFmtId="11" fontId="25" fillId="0" borderId="63" xfId="0" applyNumberFormat="1" applyFont="1" applyBorder="1" applyAlignment="1">
      <alignment horizontal="right" vertical="center" wrapText="1"/>
    </xf>
    <xf numFmtId="164" fontId="24" fillId="0" borderId="64" xfId="0" applyNumberFormat="1" applyFont="1" applyBorder="1" applyAlignment="1">
      <alignment horizontal="right" vertical="center" wrapText="1"/>
    </xf>
    <xf numFmtId="2" fontId="24" fillId="0" borderId="64" xfId="0" applyNumberFormat="1" applyFont="1" applyBorder="1" applyAlignment="1">
      <alignment horizontal="right" vertical="center" wrapText="1"/>
    </xf>
    <xf numFmtId="167" fontId="24" fillId="0" borderId="64" xfId="0" applyNumberFormat="1" applyFont="1" applyBorder="1" applyAlignment="1">
      <alignment horizontal="right" vertical="center" wrapText="1"/>
    </xf>
    <xf numFmtId="165" fontId="24" fillId="0" borderId="64" xfId="0" applyNumberFormat="1" applyFont="1" applyBorder="1" applyAlignment="1">
      <alignment horizontal="right" vertical="center" wrapText="1"/>
    </xf>
    <xf numFmtId="0" fontId="25" fillId="0" borderId="64" xfId="0" applyFont="1" applyBorder="1" applyAlignment="1">
      <alignment horizontal="right" vertical="center" wrapText="1"/>
    </xf>
    <xf numFmtId="1" fontId="24" fillId="0" borderId="64" xfId="0" applyNumberFormat="1" applyFont="1" applyBorder="1" applyAlignment="1">
      <alignment horizontal="right" vertical="center" wrapText="1"/>
    </xf>
    <xf numFmtId="166" fontId="24" fillId="0" borderId="64" xfId="0" applyNumberFormat="1" applyFont="1" applyBorder="1" applyAlignment="1">
      <alignment horizontal="right" vertical="center" wrapText="1"/>
    </xf>
    <xf numFmtId="164" fontId="24" fillId="0" borderId="65" xfId="0" applyNumberFormat="1" applyFont="1" applyBorder="1" applyAlignment="1">
      <alignment horizontal="right" vertical="center" wrapText="1"/>
    </xf>
    <xf numFmtId="2" fontId="24" fillId="0" borderId="65" xfId="0" applyNumberFormat="1" applyFont="1" applyBorder="1" applyAlignment="1">
      <alignment horizontal="right" vertical="center" wrapText="1"/>
    </xf>
    <xf numFmtId="166" fontId="24" fillId="0" borderId="65" xfId="0" applyNumberFormat="1" applyFont="1" applyBorder="1" applyAlignment="1">
      <alignment horizontal="right" vertical="center" wrapText="1"/>
    </xf>
    <xf numFmtId="0" fontId="25" fillId="0" borderId="65" xfId="0" applyFont="1" applyBorder="1" applyAlignment="1">
      <alignment horizontal="right" vertical="center" wrapText="1"/>
    </xf>
    <xf numFmtId="167" fontId="26" fillId="0" borderId="63" xfId="0" applyNumberFormat="1" applyFont="1" applyBorder="1" applyAlignment="1">
      <alignment horizontal="right" vertical="center" wrapText="1"/>
    </xf>
    <xf numFmtId="167" fontId="26" fillId="0" borderId="64" xfId="0" applyNumberFormat="1" applyFont="1" applyBorder="1" applyAlignment="1">
      <alignment horizontal="right" vertical="center" wrapText="1"/>
    </xf>
    <xf numFmtId="166" fontId="26" fillId="0" borderId="64" xfId="0" applyNumberFormat="1" applyFont="1" applyBorder="1" applyAlignment="1">
      <alignment horizontal="right" vertical="center" wrapText="1"/>
    </xf>
    <xf numFmtId="166" fontId="26" fillId="0" borderId="65" xfId="0" applyNumberFormat="1" applyFont="1" applyBorder="1" applyAlignment="1">
      <alignment horizontal="right" vertical="center" wrapText="1"/>
    </xf>
    <xf numFmtId="166" fontId="26" fillId="0" borderId="63" xfId="0" applyNumberFormat="1" applyFont="1" applyBorder="1" applyAlignment="1">
      <alignment horizontal="right" vertical="center" wrapText="1"/>
    </xf>
    <xf numFmtId="2" fontId="22" fillId="0" borderId="9" xfId="0" applyNumberFormat="1" applyFont="1" applyFill="1" applyBorder="1" applyAlignment="1">
      <alignment horizontal="right" vertical="center" wrapText="1"/>
    </xf>
    <xf numFmtId="165" fontId="22" fillId="0" borderId="9" xfId="0" applyNumberFormat="1" applyFont="1" applyFill="1" applyBorder="1" applyAlignment="1">
      <alignment horizontal="right" vertical="center" wrapText="1"/>
    </xf>
    <xf numFmtId="2" fontId="21" fillId="0" borderId="0" xfId="0" applyNumberFormat="1" applyFont="1" applyFill="1" applyAlignment="1">
      <alignment horizontal="right"/>
    </xf>
    <xf numFmtId="164" fontId="24" fillId="0" borderId="66" xfId="0" applyNumberFormat="1" applyFont="1" applyFill="1" applyBorder="1" applyAlignment="1">
      <alignment horizontal="right" vertical="center" wrapText="1"/>
    </xf>
    <xf numFmtId="2" fontId="24" fillId="0" borderId="66" xfId="0" applyNumberFormat="1" applyFont="1" applyFill="1" applyBorder="1" applyAlignment="1">
      <alignment horizontal="right" vertical="center" wrapText="1"/>
    </xf>
    <xf numFmtId="165" fontId="24" fillId="0" borderId="66" xfId="0" applyNumberFormat="1" applyFont="1" applyFill="1" applyBorder="1" applyAlignment="1">
      <alignment horizontal="right" vertical="center" wrapText="1"/>
    </xf>
    <xf numFmtId="11" fontId="25" fillId="0" borderId="66" xfId="0" applyNumberFormat="1" applyFont="1" applyFill="1" applyBorder="1" applyAlignment="1">
      <alignment horizontal="right" vertical="center" wrapText="1"/>
    </xf>
    <xf numFmtId="164" fontId="18" fillId="0" borderId="0" xfId="0" applyNumberFormat="1" applyFont="1" applyFill="1" applyAlignment="1">
      <alignment horizontal="right"/>
    </xf>
    <xf numFmtId="164" fontId="24" fillId="0" borderId="67" xfId="0" applyNumberFormat="1" applyFont="1" applyFill="1" applyBorder="1" applyAlignment="1">
      <alignment horizontal="right" vertical="center" wrapText="1"/>
    </xf>
    <xf numFmtId="2" fontId="24" fillId="0" borderId="67" xfId="0" applyNumberFormat="1" applyFont="1" applyFill="1" applyBorder="1" applyAlignment="1">
      <alignment horizontal="right" vertical="center" wrapText="1"/>
    </xf>
    <xf numFmtId="165" fontId="24" fillId="0" borderId="67" xfId="0" applyNumberFormat="1" applyFont="1" applyFill="1" applyBorder="1" applyAlignment="1">
      <alignment horizontal="right" vertical="center" wrapText="1"/>
    </xf>
    <xf numFmtId="11" fontId="25" fillId="0" borderId="67" xfId="0" applyNumberFormat="1" applyFont="1" applyFill="1" applyBorder="1" applyAlignment="1">
      <alignment horizontal="right" vertical="center" wrapText="1"/>
    </xf>
    <xf numFmtId="1" fontId="24" fillId="0" borderId="67" xfId="0" applyNumberFormat="1" applyFont="1" applyFill="1" applyBorder="1" applyAlignment="1">
      <alignment horizontal="right" vertical="center" wrapText="1"/>
    </xf>
    <xf numFmtId="1" fontId="18" fillId="0" borderId="0" xfId="0" applyNumberFormat="1" applyFont="1" applyFill="1" applyAlignment="1">
      <alignment horizontal="right"/>
    </xf>
    <xf numFmtId="164" fontId="24" fillId="0" borderId="68" xfId="0" applyNumberFormat="1" applyFont="1" applyFill="1" applyBorder="1" applyAlignment="1">
      <alignment horizontal="right" vertical="center" wrapText="1"/>
    </xf>
    <xf numFmtId="2" fontId="24" fillId="0" borderId="68" xfId="0" applyNumberFormat="1" applyFont="1" applyFill="1" applyBorder="1" applyAlignment="1">
      <alignment horizontal="right" vertical="center" wrapText="1"/>
    </xf>
    <xf numFmtId="165" fontId="24" fillId="0" borderId="68" xfId="0" applyNumberFormat="1" applyFont="1" applyFill="1" applyBorder="1" applyAlignment="1">
      <alignment horizontal="right" vertical="center" wrapText="1"/>
    </xf>
    <xf numFmtId="11" fontId="25" fillId="0" borderId="68" xfId="0" applyNumberFormat="1" applyFont="1" applyFill="1" applyBorder="1" applyAlignment="1">
      <alignment horizontal="right" vertical="center" wrapText="1"/>
    </xf>
    <xf numFmtId="164" fontId="18" fillId="0" borderId="0" xfId="0" applyNumberFormat="1" applyFont="1" applyFill="1" applyBorder="1" applyAlignment="1">
      <alignment horizontal="right"/>
    </xf>
    <xf numFmtId="2" fontId="18" fillId="0" borderId="0" xfId="0" applyNumberFormat="1" applyFont="1" applyFill="1" applyAlignment="1">
      <alignment horizontal="center"/>
    </xf>
    <xf numFmtId="0" fontId="18" fillId="0" borderId="0" xfId="0" applyNumberFormat="1" applyFont="1" applyFill="1" applyAlignment="1">
      <alignment horizontal="center"/>
    </xf>
    <xf numFmtId="0" fontId="22" fillId="0" borderId="9" xfId="0" applyNumberFormat="1" applyFont="1" applyFill="1" applyBorder="1" applyAlignment="1">
      <alignment horizontal="right" vertical="center" wrapText="1"/>
    </xf>
    <xf numFmtId="2" fontId="18" fillId="0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164" fontId="22" fillId="0" borderId="9" xfId="0" applyNumberFormat="1" applyFont="1" applyFill="1" applyBorder="1" applyAlignment="1">
      <alignment horizontal="right" vertical="center" wrapText="1"/>
    </xf>
    <xf numFmtId="164" fontId="18" fillId="0" borderId="0" xfId="0" applyNumberFormat="1" applyFont="1" applyFill="1" applyBorder="1" applyAlignment="1">
      <alignment horizontal="center"/>
    </xf>
    <xf numFmtId="167" fontId="24" fillId="0" borderId="66" xfId="0" applyNumberFormat="1" applyFont="1" applyFill="1" applyBorder="1" applyAlignment="1">
      <alignment horizontal="right" vertical="center" wrapText="1"/>
    </xf>
    <xf numFmtId="167" fontId="24" fillId="0" borderId="67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 vertical="center" wrapText="1"/>
    </xf>
    <xf numFmtId="11" fontId="25" fillId="0" borderId="0" xfId="0" applyNumberFormat="1" applyFont="1" applyAlignment="1">
      <alignment horizontal="right" vertical="center" wrapText="1"/>
    </xf>
    <xf numFmtId="166" fontId="24" fillId="0" borderId="0" xfId="0" applyNumberFormat="1" applyFont="1" applyAlignment="1">
      <alignment horizontal="right" vertical="center" wrapText="1"/>
    </xf>
    <xf numFmtId="2" fontId="24" fillId="0" borderId="6" xfId="0" applyNumberFormat="1" applyFont="1" applyBorder="1" applyAlignment="1">
      <alignment horizontal="right" vertical="center" wrapText="1"/>
    </xf>
    <xf numFmtId="1" fontId="24" fillId="0" borderId="6" xfId="0" applyNumberFormat="1" applyFont="1" applyBorder="1" applyAlignment="1">
      <alignment horizontal="right" vertical="center" wrapText="1"/>
    </xf>
    <xf numFmtId="0" fontId="24" fillId="0" borderId="0" xfId="0" applyFont="1" applyAlignment="1">
      <alignment horizontal="right" vertical="center" wrapText="1"/>
    </xf>
    <xf numFmtId="11" fontId="25" fillId="0" borderId="7" xfId="0" applyNumberFormat="1" applyFont="1" applyBorder="1" applyAlignment="1">
      <alignment horizontal="right" vertical="center" wrapText="1"/>
    </xf>
    <xf numFmtId="167" fontId="24" fillId="0" borderId="7" xfId="0" applyNumberFormat="1" applyFont="1" applyBorder="1" applyAlignment="1">
      <alignment horizontal="right" vertical="center" wrapText="1"/>
    </xf>
    <xf numFmtId="166" fontId="24" fillId="0" borderId="7" xfId="0" applyNumberFormat="1" applyFont="1" applyBorder="1" applyAlignment="1">
      <alignment horizontal="right" vertical="center" wrapText="1"/>
    </xf>
    <xf numFmtId="2" fontId="24" fillId="0" borderId="8" xfId="0" applyNumberFormat="1" applyFont="1" applyBorder="1" applyAlignment="1">
      <alignment horizontal="right" vertical="center" wrapText="1"/>
    </xf>
    <xf numFmtId="1" fontId="24" fillId="0" borderId="8" xfId="0" applyNumberFormat="1" applyFont="1" applyBorder="1" applyAlignment="1">
      <alignment horizontal="right" vertical="center" wrapText="1"/>
    </xf>
    <xf numFmtId="0" fontId="24" fillId="0" borderId="69" xfId="0" applyFont="1" applyBorder="1" applyAlignment="1">
      <alignment horizontal="right" vertical="center" wrapText="1"/>
    </xf>
    <xf numFmtId="2" fontId="24" fillId="0" borderId="5" xfId="0" applyNumberFormat="1" applyFont="1" applyBorder="1" applyAlignment="1">
      <alignment horizontal="right" vertical="center" wrapText="1"/>
    </xf>
    <xf numFmtId="164" fontId="24" fillId="0" borderId="5" xfId="0" applyNumberFormat="1" applyFont="1" applyBorder="1" applyAlignment="1">
      <alignment horizontal="right" vertical="center" wrapText="1"/>
    </xf>
    <xf numFmtId="164" fontId="24" fillId="0" borderId="8" xfId="0" applyNumberFormat="1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2" fontId="22" fillId="0" borderId="9" xfId="0" applyNumberFormat="1" applyFont="1" applyBorder="1" applyAlignment="1">
      <alignment horizontal="right" vertical="center" wrapText="1"/>
    </xf>
    <xf numFmtId="0" fontId="22" fillId="0" borderId="70" xfId="0" applyFont="1" applyBorder="1" applyAlignment="1">
      <alignment horizontal="right" vertical="center" wrapText="1"/>
    </xf>
    <xf numFmtId="165" fontId="22" fillId="0" borderId="9" xfId="0" applyNumberFormat="1" applyFont="1" applyBorder="1" applyAlignment="1">
      <alignment horizontal="right" vertical="center" wrapText="1"/>
    </xf>
    <xf numFmtId="165" fontId="24" fillId="0" borderId="7" xfId="0" applyNumberFormat="1" applyFont="1" applyBorder="1" applyAlignment="1">
      <alignment horizontal="right" vertical="center" wrapText="1"/>
    </xf>
    <xf numFmtId="1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left" vertical="center"/>
    </xf>
    <xf numFmtId="2" fontId="30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31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 wrapText="1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0" fillId="0" borderId="0" xfId="0" applyFont="1" applyAlignment="1">
      <alignment horizontal="right" vertical="center"/>
    </xf>
    <xf numFmtId="1" fontId="31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31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2" fontId="33" fillId="0" borderId="0" xfId="0" applyNumberFormat="1" applyFont="1" applyAlignment="1">
      <alignment horizontal="left" vertical="center"/>
    </xf>
    <xf numFmtId="2" fontId="34" fillId="0" borderId="5" xfId="0" applyNumberFormat="1" applyFont="1" applyBorder="1" applyAlignment="1">
      <alignment horizontal="right" vertical="center" wrapText="1"/>
    </xf>
    <xf numFmtId="11" fontId="35" fillId="0" borderId="42" xfId="0" applyNumberFormat="1" applyFont="1" applyBorder="1" applyAlignment="1">
      <alignment horizontal="right" vertical="center" wrapText="1"/>
    </xf>
    <xf numFmtId="166" fontId="34" fillId="0" borderId="42" xfId="0" applyNumberFormat="1" applyFont="1" applyBorder="1" applyAlignment="1">
      <alignment horizontal="right" vertical="center" wrapText="1"/>
    </xf>
    <xf numFmtId="164" fontId="34" fillId="0" borderId="5" xfId="0" applyNumberFormat="1" applyFont="1" applyBorder="1" applyAlignment="1">
      <alignment horizontal="right" vertical="center" wrapText="1"/>
    </xf>
    <xf numFmtId="2" fontId="34" fillId="0" borderId="6" xfId="0" applyNumberFormat="1" applyFont="1" applyBorder="1" applyAlignment="1">
      <alignment horizontal="right" vertical="center" wrapText="1"/>
    </xf>
    <xf numFmtId="11" fontId="35" fillId="0" borderId="32" xfId="0" applyNumberFormat="1" applyFont="1" applyBorder="1" applyAlignment="1">
      <alignment horizontal="right" vertical="center" wrapText="1"/>
    </xf>
    <xf numFmtId="166" fontId="34" fillId="0" borderId="32" xfId="0" applyNumberFormat="1" applyFont="1" applyBorder="1" applyAlignment="1">
      <alignment horizontal="right" vertical="center" wrapText="1"/>
    </xf>
    <xf numFmtId="164" fontId="34" fillId="0" borderId="6" xfId="0" applyNumberFormat="1" applyFont="1" applyBorder="1" applyAlignment="1">
      <alignment horizontal="right" vertical="center" wrapText="1"/>
    </xf>
    <xf numFmtId="2" fontId="34" fillId="0" borderId="71" xfId="0" applyNumberFormat="1" applyFont="1" applyBorder="1" applyAlignment="1">
      <alignment horizontal="right" vertical="center" wrapText="1"/>
    </xf>
    <xf numFmtId="11" fontId="35" fillId="0" borderId="71" xfId="0" applyNumberFormat="1" applyFont="1" applyBorder="1" applyAlignment="1">
      <alignment horizontal="right" vertical="center" wrapText="1"/>
    </xf>
    <xf numFmtId="166" fontId="34" fillId="0" borderId="71" xfId="0" applyNumberFormat="1" applyFont="1" applyBorder="1" applyAlignment="1">
      <alignment horizontal="right" vertical="center" wrapText="1"/>
    </xf>
    <xf numFmtId="164" fontId="34" fillId="0" borderId="71" xfId="0" applyNumberFormat="1" applyFont="1" applyBorder="1" applyAlignment="1">
      <alignment horizontal="right" vertical="center" wrapText="1"/>
    </xf>
    <xf numFmtId="2" fontId="36" fillId="0" borderId="71" xfId="0" applyNumberFormat="1" applyFont="1" applyBorder="1" applyAlignment="1">
      <alignment horizontal="right" vertical="center" wrapText="1"/>
    </xf>
    <xf numFmtId="165" fontId="36" fillId="0" borderId="71" xfId="0" applyNumberFormat="1" applyFont="1" applyBorder="1" applyAlignment="1">
      <alignment horizontal="right" vertical="center" wrapText="1"/>
    </xf>
    <xf numFmtId="0" fontId="37" fillId="0" borderId="0" xfId="0" applyFont="1" applyAlignment="1">
      <alignment horizontal="left" vertical="center"/>
    </xf>
    <xf numFmtId="2" fontId="37" fillId="0" borderId="0" xfId="0" applyNumberFormat="1" applyFont="1" applyAlignment="1">
      <alignment horizontal="left" vertical="center"/>
    </xf>
    <xf numFmtId="1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164" fontId="38" fillId="0" borderId="0" xfId="0" applyNumberFormat="1" applyFont="1" applyAlignment="1">
      <alignment horizontal="right" vertical="center" wrapText="1"/>
    </xf>
    <xf numFmtId="164" fontId="38" fillId="0" borderId="0" xfId="0" applyNumberFormat="1" applyFont="1" applyAlignment="1">
      <alignment horizontal="right" vertical="center"/>
    </xf>
    <xf numFmtId="164" fontId="39" fillId="0" borderId="0" xfId="0" applyNumberFormat="1" applyFont="1" applyAlignment="1">
      <alignment horizontal="right" vertical="center" wrapText="1"/>
    </xf>
    <xf numFmtId="2" fontId="39" fillId="0" borderId="0" xfId="0" applyNumberFormat="1" applyFont="1" applyAlignment="1">
      <alignment horizontal="right" vertical="center" wrapText="1"/>
    </xf>
    <xf numFmtId="0" fontId="39" fillId="0" borderId="0" xfId="0" applyFont="1" applyAlignment="1">
      <alignment horizontal="right" vertical="center" wrapText="1"/>
    </xf>
    <xf numFmtId="164" fontId="40" fillId="0" borderId="0" xfId="0" applyNumberFormat="1" applyFont="1" applyAlignment="1">
      <alignment horizontal="left" vertical="center"/>
    </xf>
    <xf numFmtId="164" fontId="37" fillId="0" borderId="0" xfId="0" applyNumberFormat="1" applyFont="1" applyAlignment="1">
      <alignment horizontal="left" vertical="center"/>
    </xf>
    <xf numFmtId="0" fontId="33" fillId="0" borderId="0" xfId="0" applyFont="1"/>
    <xf numFmtId="2" fontId="34" fillId="0" borderId="42" xfId="0" applyNumberFormat="1" applyFont="1" applyBorder="1" applyAlignment="1">
      <alignment horizontal="right" vertical="center" wrapText="1"/>
    </xf>
    <xf numFmtId="2" fontId="34" fillId="0" borderId="32" xfId="0" applyNumberFormat="1" applyFont="1" applyBorder="1" applyAlignment="1">
      <alignment horizontal="right" vertical="center" wrapText="1"/>
    </xf>
    <xf numFmtId="9" fontId="34" fillId="0" borderId="71" xfId="1" applyFont="1" applyFill="1" applyBorder="1" applyAlignment="1">
      <alignment horizontal="right" vertical="center" wrapText="1"/>
    </xf>
    <xf numFmtId="166" fontId="35" fillId="0" borderId="42" xfId="0" applyNumberFormat="1" applyFont="1" applyBorder="1" applyAlignment="1">
      <alignment horizontal="right" vertical="center" wrapText="1"/>
    </xf>
    <xf numFmtId="166" fontId="35" fillId="0" borderId="32" xfId="0" applyNumberFormat="1" applyFont="1" applyBorder="1" applyAlignment="1">
      <alignment horizontal="right" vertical="center" wrapText="1"/>
    </xf>
    <xf numFmtId="166" fontId="35" fillId="0" borderId="71" xfId="0" applyNumberFormat="1" applyFont="1" applyBorder="1" applyAlignment="1">
      <alignment horizontal="right" vertical="center" wrapText="1"/>
    </xf>
    <xf numFmtId="2" fontId="22" fillId="0" borderId="10" xfId="0" applyNumberFormat="1" applyFont="1" applyBorder="1" applyAlignment="1">
      <alignment horizontal="right" vertical="center" wrapText="1"/>
    </xf>
    <xf numFmtId="2" fontId="46" fillId="0" borderId="0" xfId="0" applyNumberFormat="1" applyFont="1" applyAlignment="1">
      <alignment horizontal="right"/>
    </xf>
    <xf numFmtId="164" fontId="47" fillId="0" borderId="0" xfId="0" applyNumberFormat="1" applyFont="1" applyAlignment="1">
      <alignment horizontal="right"/>
    </xf>
    <xf numFmtId="2" fontId="47" fillId="0" borderId="0" xfId="0" applyNumberFormat="1" applyFont="1" applyAlignment="1">
      <alignment horizontal="center"/>
    </xf>
    <xf numFmtId="2" fontId="24" fillId="0" borderId="72" xfId="0" applyNumberFormat="1" applyFont="1" applyBorder="1" applyAlignment="1">
      <alignment horizontal="right" vertical="center" wrapText="1"/>
    </xf>
    <xf numFmtId="164" fontId="24" fillId="0" borderId="72" xfId="0" applyNumberFormat="1" applyFont="1" applyBorder="1" applyAlignment="1">
      <alignment horizontal="right" vertical="center" wrapText="1"/>
    </xf>
    <xf numFmtId="167" fontId="24" fillId="0" borderId="72" xfId="0" applyNumberFormat="1" applyFont="1" applyBorder="1" applyAlignment="1">
      <alignment horizontal="right" vertical="center" wrapText="1"/>
    </xf>
    <xf numFmtId="11" fontId="25" fillId="0" borderId="72" xfId="0" applyNumberFormat="1" applyFont="1" applyBorder="1" applyAlignment="1">
      <alignment horizontal="right" vertical="center" wrapText="1"/>
    </xf>
    <xf numFmtId="2" fontId="24" fillId="0" borderId="73" xfId="0" applyNumberFormat="1" applyFont="1" applyBorder="1" applyAlignment="1">
      <alignment horizontal="right" vertical="center" wrapText="1"/>
    </xf>
    <xf numFmtId="164" fontId="24" fillId="0" borderId="74" xfId="0" applyNumberFormat="1" applyFont="1" applyBorder="1" applyAlignment="1">
      <alignment horizontal="right" vertical="center" wrapText="1"/>
    </xf>
    <xf numFmtId="2" fontId="24" fillId="0" borderId="74" xfId="0" applyNumberFormat="1" applyFont="1" applyBorder="1" applyAlignment="1">
      <alignment horizontal="right" vertical="center" wrapText="1"/>
    </xf>
    <xf numFmtId="167" fontId="24" fillId="0" borderId="74" xfId="0" applyNumberFormat="1" applyFont="1" applyBorder="1" applyAlignment="1">
      <alignment horizontal="right" vertical="center" wrapText="1"/>
    </xf>
    <xf numFmtId="11" fontId="25" fillId="0" borderId="74" xfId="0" applyNumberFormat="1" applyFont="1" applyBorder="1" applyAlignment="1">
      <alignment horizontal="right" vertical="center" wrapText="1"/>
    </xf>
    <xf numFmtId="1" fontId="24" fillId="0" borderId="74" xfId="0" applyNumberFormat="1" applyFont="1" applyBorder="1" applyAlignment="1">
      <alignment horizontal="right" vertical="center" wrapText="1"/>
    </xf>
    <xf numFmtId="166" fontId="24" fillId="0" borderId="74" xfId="0" applyNumberFormat="1" applyFont="1" applyBorder="1" applyAlignment="1">
      <alignment horizontal="right" vertical="center" wrapText="1"/>
    </xf>
    <xf numFmtId="2" fontId="22" fillId="0" borderId="75" xfId="0" applyNumberFormat="1" applyFont="1" applyBorder="1" applyAlignment="1">
      <alignment horizontal="right" vertical="center" wrapText="1"/>
    </xf>
    <xf numFmtId="2" fontId="22" fillId="0" borderId="75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2" fontId="7" fillId="0" borderId="62" xfId="0" applyNumberFormat="1" applyFont="1" applyBorder="1" applyAlignment="1">
      <alignment horizontal="center" vertical="center" wrapText="1"/>
    </xf>
    <xf numFmtId="2" fontId="7" fillId="0" borderId="59" xfId="0" applyNumberFormat="1" applyFont="1" applyBorder="1" applyAlignment="1">
      <alignment horizontal="center" vertical="center" wrapText="1"/>
    </xf>
    <xf numFmtId="2" fontId="7" fillId="0" borderId="61" xfId="0" applyNumberFormat="1" applyFont="1" applyBorder="1" applyAlignment="1">
      <alignment horizontal="center" vertical="center" wrapText="1"/>
    </xf>
    <xf numFmtId="2" fontId="7" fillId="0" borderId="60" xfId="0" applyNumberFormat="1" applyFont="1" applyBorder="1" applyAlignment="1">
      <alignment horizontal="center" vertical="center" wrapText="1"/>
    </xf>
    <xf numFmtId="2" fontId="7" fillId="0" borderId="58" xfId="0" applyNumberFormat="1" applyFont="1" applyBorder="1" applyAlignment="1">
      <alignment horizontal="center" vertical="center" wrapText="1"/>
    </xf>
    <xf numFmtId="2" fontId="7" fillId="0" borderId="57" xfId="0" applyNumberFormat="1" applyFont="1" applyBorder="1" applyAlignment="1">
      <alignment horizontal="center" vertical="center" wrapText="1"/>
    </xf>
    <xf numFmtId="2" fontId="7" fillId="0" borderId="56" xfId="0" applyNumberFormat="1" applyFont="1" applyBorder="1" applyAlignment="1">
      <alignment horizontal="center" vertical="center" wrapText="1"/>
    </xf>
    <xf numFmtId="2" fontId="7" fillId="0" borderId="55" xfId="0" applyNumberFormat="1" applyFont="1" applyBorder="1" applyAlignment="1">
      <alignment horizontal="center" vertical="center" wrapText="1"/>
    </xf>
    <xf numFmtId="2" fontId="7" fillId="0" borderId="54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 wrapText="1"/>
    </xf>
    <xf numFmtId="2" fontId="7" fillId="0" borderId="11" xfId="0" applyNumberFormat="1" applyFont="1" applyFill="1" applyBorder="1" applyAlignment="1">
      <alignment horizontal="center" vertical="center" wrapText="1"/>
    </xf>
    <xf numFmtId="2" fontId="7" fillId="0" borderId="10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left" vertical="top" wrapText="1"/>
    </xf>
    <xf numFmtId="2" fontId="24" fillId="0" borderId="69" xfId="0" applyNumberFormat="1" applyFont="1" applyBorder="1" applyAlignment="1">
      <alignment horizontal="right" vertical="center" wrapText="1"/>
    </xf>
    <xf numFmtId="164" fontId="24" fillId="0" borderId="69" xfId="0" applyNumberFormat="1" applyFont="1" applyBorder="1" applyAlignment="1">
      <alignment horizontal="right" vertical="center" wrapText="1"/>
    </xf>
    <xf numFmtId="2" fontId="0" fillId="0" borderId="0" xfId="0" applyNumberFormat="1"/>
    <xf numFmtId="2" fontId="18" fillId="0" borderId="0" xfId="0" applyNumberFormat="1" applyFont="1" applyBorder="1" applyAlignment="1"/>
    <xf numFmtId="0" fontId="18" fillId="0" borderId="0" xfId="0" applyFont="1" applyBorder="1"/>
    <xf numFmtId="0" fontId="0" fillId="0" borderId="0" xfId="0" applyBorder="1"/>
    <xf numFmtId="0" fontId="24" fillId="0" borderId="0" xfId="0" applyFont="1" applyBorder="1" applyAlignment="1">
      <alignment horizontal="right" vertical="center" wrapText="1"/>
    </xf>
    <xf numFmtId="2" fontId="24" fillId="0" borderId="0" xfId="0" applyNumberFormat="1" applyFont="1" applyBorder="1" applyAlignment="1">
      <alignment horizontal="right" vertical="center" wrapText="1"/>
    </xf>
    <xf numFmtId="2" fontId="18" fillId="0" borderId="0" xfId="0" applyNumberFormat="1" applyFont="1" applyBorder="1"/>
    <xf numFmtId="2" fontId="18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vertical="center" wrapText="1"/>
    </xf>
    <xf numFmtId="2" fontId="18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469"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/>
        <i val="0"/>
        <color rgb="FF00B050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66101"/>
      <color rgb="FFE7298A"/>
      <color rgb="FF1B9E77"/>
      <color rgb="FF7570B3"/>
      <color rgb="FFB5B0F3"/>
      <color rgb="FFFF9F42"/>
      <color rgb="FFFC8D62"/>
      <color rgb="FFD95F02"/>
      <color rgb="FFF2F2F2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50" Type="http://schemas.openxmlformats.org/officeDocument/2006/relationships/externalLink" Target="externalLinks/externalLink37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53" Type="http://schemas.openxmlformats.org/officeDocument/2006/relationships/externalLink" Target="externalLinks/externalLink40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46" Type="http://schemas.openxmlformats.org/officeDocument/2006/relationships/externalLink" Target="externalLinks/externalLink33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54" Type="http://schemas.openxmlformats.org/officeDocument/2006/relationships/externalLink" Target="externalLinks/externalLink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l_t</c:v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A46-4068-B2F5-35FD75829F16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A46-4068-B2F5-35FD75829F16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A46-4068-B2F5-35FD75829F16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B0'!$K$24:$K$27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only B0'!$K$24:$K$27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only B0'!$A$24:$A$27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B0'!$B$24:$B$27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46-4068-B2F5-35FD75829F16}"/>
            </c:ext>
          </c:extLst>
        </c:ser>
        <c:ser>
          <c:idx val="2"/>
          <c:order val="1"/>
          <c:tx>
            <c:v>h_t</c:v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46-4068-B2F5-35FD75829F16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46-4068-B2F5-35FD75829F16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46-4068-B2F5-35FD75829F16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B0'!$K$30:$K$33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only B0'!$K$30:$K$33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only B0'!$A$24:$A$27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B0'!$B$30:$B$33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46-4068-B2F5-35FD7582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 RTH B0'!$A$89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9-4676-8722-DC4D476E4236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9-4676-8722-DC4D476E4236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09-4676-8722-DC4D476E4236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09-4676-8722-DC4D476E4236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B0'!$F$91:$F$98</c15:sqref>
                    </c15:fullRef>
                  </c:ext>
                </c:extLst>
                <c:f>'mode RTH B0'!$F$91:$F$94</c:f>
                <c:numCache>
                  <c:formatCode>General</c:formatCode>
                  <c:ptCount val="4"/>
                  <c:pt idx="0">
                    <c:v>15.428717373749897</c:v>
                  </c:pt>
                  <c:pt idx="1">
                    <c:v>15.426497020172601</c:v>
                  </c:pt>
                  <c:pt idx="2">
                    <c:v>15.387271088137197</c:v>
                  </c:pt>
                  <c:pt idx="3">
                    <c:v>15.2779818478149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B0'!$F$91:$F$98</c15:sqref>
                    </c15:fullRef>
                  </c:ext>
                </c:extLst>
                <c:f>'mode RTH B0'!$F$91:$F$94</c:f>
                <c:numCache>
                  <c:formatCode>General</c:formatCode>
                  <c:ptCount val="4"/>
                  <c:pt idx="0">
                    <c:v>15.428717373749897</c:v>
                  </c:pt>
                  <c:pt idx="1">
                    <c:v>15.426497020172601</c:v>
                  </c:pt>
                  <c:pt idx="2">
                    <c:v>15.387271088137197</c:v>
                  </c:pt>
                  <c:pt idx="3">
                    <c:v>15.2779818478149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B0'!$A$91:$A$98</c15:sqref>
                  </c15:fullRef>
                </c:ext>
              </c:extLst>
              <c:f>'mode RTH B0'!$A$91:$A$94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B0'!$B$91:$B$98</c15:sqref>
                  </c15:fullRef>
                </c:ext>
              </c:extLst>
              <c:f>'mode RTH B0'!$B$91:$B$94</c:f>
              <c:numCache>
                <c:formatCode>0.0</c:formatCode>
                <c:ptCount val="4"/>
                <c:pt idx="0">
                  <c:v>34.866999999999997</c:v>
                </c:pt>
                <c:pt idx="1">
                  <c:v>36.759</c:v>
                </c:pt>
                <c:pt idx="2">
                  <c:v>35.253999999999998</c:v>
                </c:pt>
                <c:pt idx="3">
                  <c:v>40.253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B0'!$B$95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B0'!$B$96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B0'!$B$97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B0'!$B$98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E109-4676-8722-DC4D476E4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layout>
            <c:manualLayout>
              <c:xMode val="edge"/>
              <c:yMode val="edge"/>
              <c:x val="0.10344715235240454"/>
              <c:y val="9.18475929926125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B0'!$A$100</c:f>
              <c:strCache>
                <c:ptCount val="1"/>
                <c:pt idx="0">
                  <c:v>mean f0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B3D-44EB-B598-CA0881348AB1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B3D-44EB-B598-CA0881348AB1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B3D-44EB-B598-CA0881348AB1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B3D-44EB-B598-CA0881348AB1}"/>
              </c:ext>
            </c:extLst>
          </c:dPt>
          <c:errBars>
            <c:errBarType val="both"/>
            <c:errValType val="cust"/>
            <c:noEndCap val="0"/>
            <c:plus>
              <c:numRef>
                <c:f>'mode RTH B0'!$F$102:$F$105</c:f>
                <c:numCache>
                  <c:formatCode>General</c:formatCode>
                  <c:ptCount val="4"/>
                  <c:pt idx="0">
                    <c:v>3.5368587052362983</c:v>
                  </c:pt>
                  <c:pt idx="1">
                    <c:v>3.5373073642205952</c:v>
                  </c:pt>
                  <c:pt idx="2">
                    <c:v>3.5389824103083072</c:v>
                  </c:pt>
                  <c:pt idx="3">
                    <c:v>3.5439203837970013</c:v>
                  </c:pt>
                </c:numCache>
              </c:numRef>
            </c:plus>
            <c:minus>
              <c:numRef>
                <c:f>'mode RTH B0'!$F$102:$F$105</c:f>
                <c:numCache>
                  <c:formatCode>General</c:formatCode>
                  <c:ptCount val="4"/>
                  <c:pt idx="0">
                    <c:v>3.5368587052362983</c:v>
                  </c:pt>
                  <c:pt idx="1">
                    <c:v>3.5373073642205952</c:v>
                  </c:pt>
                  <c:pt idx="2">
                    <c:v>3.5389824103083072</c:v>
                  </c:pt>
                  <c:pt idx="3">
                    <c:v>3.5439203837970013</c:v>
                  </c:pt>
                </c:numCache>
              </c:numRef>
            </c:minus>
            <c:spPr>
              <a:ln w="9525"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B0'!$B$102:$B$105</c:f>
              <c:numCache>
                <c:formatCode>0.0</c:formatCode>
                <c:ptCount val="4"/>
                <c:pt idx="0">
                  <c:v>86.733999999999995</c:v>
                </c:pt>
                <c:pt idx="1">
                  <c:v>87.033000000000001</c:v>
                </c:pt>
                <c:pt idx="2">
                  <c:v>88.046000000000006</c:v>
                </c:pt>
                <c:pt idx="3">
                  <c:v>88.299000000000007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3D-44EB-B598-CA088134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 RTH B0'!$A$78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99-40DE-8D2D-19135579579D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99-40DE-8D2D-19135579579D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99-40DE-8D2D-19135579579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99-40DE-8D2D-19135579579D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B0'!$F$80:$F$87</c15:sqref>
                    </c15:fullRef>
                  </c:ext>
                </c:extLst>
                <c:f>'mode RTH B0'!$F$80:$F$83</c:f>
                <c:numCache>
                  <c:formatCode>General</c:formatCode>
                  <c:ptCount val="4"/>
                  <c:pt idx="0">
                    <c:v>0.97087092240331963</c:v>
                  </c:pt>
                  <c:pt idx="1">
                    <c:v>0.97072948357875966</c:v>
                  </c:pt>
                  <c:pt idx="2">
                    <c:v>0.97563259621253007</c:v>
                  </c:pt>
                  <c:pt idx="3">
                    <c:v>0.98564216650111014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B0'!$F$80:$F$87</c15:sqref>
                    </c15:fullRef>
                  </c:ext>
                </c:extLst>
                <c:f>'mode RTH B0'!$F$80:$F$83</c:f>
                <c:numCache>
                  <c:formatCode>General</c:formatCode>
                  <c:ptCount val="4"/>
                  <c:pt idx="0">
                    <c:v>0.97087092240331963</c:v>
                  </c:pt>
                  <c:pt idx="1">
                    <c:v>0.97072948357875966</c:v>
                  </c:pt>
                  <c:pt idx="2">
                    <c:v>0.97563259621253007</c:v>
                  </c:pt>
                  <c:pt idx="3">
                    <c:v>0.98564216650111014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B0'!$A$80:$A$87</c15:sqref>
                  </c15:fullRef>
                </c:ext>
              </c:extLst>
              <c:f>'mode RTH B0'!$A$80:$A$83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B0'!$B$80:$B$87</c15:sqref>
                  </c15:fullRef>
                </c:ext>
              </c:extLst>
              <c:f>'mode RTH B0'!$B$80:$B$83</c:f>
              <c:numCache>
                <c:formatCode>0.0</c:formatCode>
                <c:ptCount val="4"/>
                <c:pt idx="0">
                  <c:v>5.9409999999999998</c:v>
                </c:pt>
                <c:pt idx="1">
                  <c:v>6.1369999999999996</c:v>
                </c:pt>
                <c:pt idx="2">
                  <c:v>5.84</c:v>
                </c:pt>
                <c:pt idx="3">
                  <c:v>6.8959999999999999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B0'!$B$84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B0'!$B$85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B0'!$B$86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B0'!$B$87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8999-40DE-8D2D-191355795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0.1317292538127007"/>
              <c:y val="0.15409341415787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 baseline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RTH B0'!$A$36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B0'!$F$36,'mode RTH B0'!$F$47)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80.440403188798996</c:v>
                  </c:pt>
                </c:numCache>
              </c:numRef>
            </c:plus>
            <c:minus>
              <c:numRef>
                <c:f>('mode RTH B0'!$F$36,'mode RTH B0'!$F$47)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80.440403188798996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B0'!$F$58,'mode RTH B0'!$F$69)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B0'!$F$58,'mode RTH B0'!$F$69)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('mode RTH B0'!$B$36,'mode RTH B0'!$B$47)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B0'!$B$58,'mode RTH B0'!$B$69)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D-4112-A3A9-E23FBEFB2014}"/>
            </c:ext>
          </c:extLst>
        </c:ser>
        <c:ser>
          <c:idx val="2"/>
          <c:order val="1"/>
          <c:tx>
            <c:strRef>
              <c:f>'mode RTH B0'!$A$37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B0'!$F$37,'mode RTH B0'!$F$48)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80.439739480653969</c:v>
                  </c:pt>
                </c:numCache>
              </c:numRef>
            </c:plus>
            <c:minus>
              <c:numRef>
                <c:f>('mode RTH B0'!$F$37,'mode RTH B0'!$F$48)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80.439739480653969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B0'!$F$59,'mode RTH B0'!$F$70)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plus>
            <c:minus>
              <c:numRef>
                <c:f>('mode RTH B0'!$F$59,'mode RTH B0'!$F$70)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RTH B0'!$B$37,'mode RTH B0'!$B$48)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B0'!$B$59,'mode RTH B0'!$B$70)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D-4112-A3A9-E23FBEFB2014}"/>
            </c:ext>
          </c:extLst>
        </c:ser>
        <c:ser>
          <c:idx val="3"/>
          <c:order val="2"/>
          <c:tx>
            <c:strRef>
              <c:f>'mode RTH B0'!$A$38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B0'!$F$38,'mode RTH B0'!$F$49)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80.420348288878984</c:v>
                  </c:pt>
                </c:numCache>
              </c:numRef>
            </c:plus>
            <c:minus>
              <c:numRef>
                <c:f>('mode RTH B0'!$F$38,'mode RTH B0'!$F$49)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80.420348288878984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B0'!$F$60,'mode RTH B0'!$F$71)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plus>
            <c:minus>
              <c:numRef>
                <c:f>('mode RTH B0'!$F$60,'mode RTH B0'!$F$71)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RTH B0'!$B$38,'mode RTH B0'!$B$49)</c:f>
              <c:numCache>
                <c:formatCode>0</c:formatCode>
                <c:ptCount val="2"/>
                <c:pt idx="0">
                  <c:v>69.475999999999999</c:v>
                </c:pt>
                <c:pt idx="1">
                  <c:v>268.13499999999999</c:v>
                </c:pt>
              </c:numCache>
            </c:numRef>
          </c:xVal>
          <c:yVal>
            <c:numRef>
              <c:f>('mode RTH B0'!$B$60,'mode RTH B0'!$B$71)</c:f>
              <c:numCache>
                <c:formatCode>0.0</c:formatCode>
                <c:ptCount val="2"/>
                <c:pt idx="0">
                  <c:v>85.177999999999997</c:v>
                </c:pt>
                <c:pt idx="1">
                  <c:v>91.29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D-4112-A3A9-E23FBEFB2014}"/>
            </c:ext>
          </c:extLst>
        </c:ser>
        <c:ser>
          <c:idx val="0"/>
          <c:order val="3"/>
          <c:tx>
            <c:strRef>
              <c:f>'mode RTH B0'!$A$39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B0'!$F$39,'mode RTH B0'!$F$50)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80.373679155144004</c:v>
                  </c:pt>
                </c:numCache>
              </c:numRef>
            </c:plus>
            <c:minus>
              <c:numRef>
                <c:f>('mode RTH B0'!$F$39,'mode RTH B0'!$F$50)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80.373679155144004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B0'!$F$61,'mode RTH B0'!$F$72)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plus>
            <c:minus>
              <c:numRef>
                <c:f>('mode RTH B0'!$F$61,'mode RTH B0'!$F$72)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RTH B0'!$B$39,'mode RTH B0'!$B$50)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</c:numRef>
          </c:xVal>
          <c:yVal>
            <c:numRef>
              <c:f>('mode RTH B0'!$B$61,'mode RTH B0'!$B$72)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BD-4112-A3A9-E23FBEFB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525466461449563"/>
          <c:y val="0.1750919067215363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B1'!$A$8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B1'!$K$8,'mode RTH B1'!$K$16,'mode RTH B1'!$K$24,'mode RTH B1'!$K$32,'mode RTH B1'!$K$40,'mode RTH B1'!$K$48)</c:f>
                <c:numCache>
                  <c:formatCode>General</c:formatCode>
                  <c:ptCount val="6"/>
                  <c:pt idx="0">
                    <c:v>1.7149018824254758</c:v>
                  </c:pt>
                  <c:pt idx="1">
                    <c:v>1.89179130580635</c:v>
                  </c:pt>
                  <c:pt idx="2">
                    <c:v>2.5369456649812601</c:v>
                  </c:pt>
                  <c:pt idx="3">
                    <c:v>1.8918102622060702</c:v>
                  </c:pt>
                  <c:pt idx="4">
                    <c:v>2.5403002191011161</c:v>
                  </c:pt>
                  <c:pt idx="5">
                    <c:v>2.6191635643668101</c:v>
                  </c:pt>
                </c:numCache>
              </c:numRef>
            </c:plus>
            <c:minus>
              <c:numRef>
                <c:f>('mode RTH B1'!$K$8,'mode RTH B1'!$K$16,'mode RTH B1'!$K$24,'mode RTH B1'!$K$32,'mode RTH B1'!$K$40,'mode RTH B1'!$K$48)</c:f>
                <c:numCache>
                  <c:formatCode>General</c:formatCode>
                  <c:ptCount val="6"/>
                  <c:pt idx="0">
                    <c:v>1.7149018824254758</c:v>
                  </c:pt>
                  <c:pt idx="1">
                    <c:v>1.89179130580635</c:v>
                  </c:pt>
                  <c:pt idx="2">
                    <c:v>2.5369456649812601</c:v>
                  </c:pt>
                  <c:pt idx="3">
                    <c:v>1.8918102622060702</c:v>
                  </c:pt>
                  <c:pt idx="4">
                    <c:v>2.5403002191011161</c:v>
                  </c:pt>
                  <c:pt idx="5">
                    <c:v>2.6191635643668101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B1'!$B$8,'mode RTH B1'!$B$16,'mode RTH B1'!$B$24,'mode RTH B1'!$B$32,'mode RTH B1'!$B$40,'mode RTH B1'!$B$48)</c:f>
              <c:numCache>
                <c:formatCode>0.00</c:formatCode>
                <c:ptCount val="6"/>
                <c:pt idx="0">
                  <c:v>1.8919999999999999</c:v>
                </c:pt>
                <c:pt idx="1">
                  <c:v>0.38700000000000001</c:v>
                </c:pt>
                <c:pt idx="2">
                  <c:v>5.3860000000000001</c:v>
                </c:pt>
                <c:pt idx="3">
                  <c:v>-1.5049999999999999</c:v>
                </c:pt>
                <c:pt idx="4">
                  <c:v>3.4950000000000001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0-4F90-8489-A837FEE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(ST/second)</a:t>
                </a:r>
              </a:p>
            </c:rich>
          </c:tx>
          <c:layout>
            <c:manualLayout>
              <c:xMode val="edge"/>
              <c:yMode val="edge"/>
              <c:x val="2.984190307328605E-2"/>
              <c:y val="8.19416195856873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B1'!$A$2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B1'!$K$2,'mode RTH B1'!$K$10,'mode RTH B1'!$K$18,'mode RTH B1'!$K$26,'mode RTH B1'!$K$34,'mode RTH B1'!$K$42)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B1'!$K$2,'mode RTH B1'!$K$10,'mode RTH B1'!$K$18,'mode RTH B1'!$K$26,'mode RTH B1'!$K$34,'mode RTH B1'!$K$42)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B1'!$B$2,'mode RTH B1'!$B$10,'mode RTH B1'!$B$18,'mode RTH B1'!$B$26,'mode RTH B1'!$B$34,'mode RTH B1'!$B$42)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5-43C8-A8D2-5954B9AA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8.50920220382767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B1'!$A$3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B1'!$K$11,'mode RTH B1'!$K$19,'mode RTH B1'!$K$27,'mode RTH B1'!$K$35,'mode RTH B1'!$K$43)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B1'!$K$3,'mode RTH B1'!$K$11,'mode RTH B1'!$K$19,'mode RTH B1'!$K$27,'mode RTH B1'!$K$35,'mode RTH B1'!$K$43)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B1'!$B$11,'mode RTH B1'!$B$19,'mode RTH B1'!$B$27,'mode RTH B1'!$B$35,'mode RTH B1'!$B$43)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B-4DBD-B973-40EC3716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0.1033693042399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B1'!$A$5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B1'!$K$13,'mode RTH B1'!$K$21,'mode RTH B1'!$K$29,'mode RTH B1'!$K$37,'mode RTH B1'!$K$45)</c:f>
                <c:numCache>
                  <c:formatCode>General</c:formatCode>
                  <c:ptCount val="6"/>
                  <c:pt idx="0">
                    <c:v>0.28976654222300785</c:v>
                  </c:pt>
                  <c:pt idx="1">
                    <c:v>0.31998699184137092</c:v>
                  </c:pt>
                  <c:pt idx="2">
                    <c:v>0.44427439237731003</c:v>
                  </c:pt>
                  <c:pt idx="3">
                    <c:v>0.32124334035451685</c:v>
                  </c:pt>
                  <c:pt idx="4">
                    <c:v>0.44467958306758504</c:v>
                  </c:pt>
                  <c:pt idx="5">
                    <c:v>0.457393626527065</c:v>
                  </c:pt>
                </c:numCache>
              </c:numRef>
            </c:plus>
            <c:minus>
              <c:numRef>
                <c:f>('mode RTH B1'!$K$5,'mode RTH B1'!$K$13,'mode RTH B1'!$K$21,'mode RTH B1'!$K$29,'mode RTH B1'!$K$37,'mode RTH B1'!$K$45)</c:f>
                <c:numCache>
                  <c:formatCode>General</c:formatCode>
                  <c:ptCount val="6"/>
                  <c:pt idx="0">
                    <c:v>0.28976654222300785</c:v>
                  </c:pt>
                  <c:pt idx="1">
                    <c:v>0.31998699184137092</c:v>
                  </c:pt>
                  <c:pt idx="2">
                    <c:v>0.44427439237731003</c:v>
                  </c:pt>
                  <c:pt idx="3">
                    <c:v>0.32124334035451685</c:v>
                  </c:pt>
                  <c:pt idx="4">
                    <c:v>0.44467958306758504</c:v>
                  </c:pt>
                  <c:pt idx="5">
                    <c:v>0.457393626527065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B1'!$B$13,'mode RTH B1'!$B$21,'mode RTH B1'!$B$29,'mode RTH B1'!$B$37,'mode RTH B1'!$B$45)</c:f>
              <c:numCache>
                <c:formatCode>0.0</c:formatCode>
                <c:ptCount val="6"/>
                <c:pt idx="0">
                  <c:v>0.29899999999999999</c:v>
                </c:pt>
                <c:pt idx="1">
                  <c:v>1.3109999999999999</c:v>
                </c:pt>
                <c:pt idx="2">
                  <c:v>1.5649999999999999</c:v>
                </c:pt>
                <c:pt idx="3">
                  <c:v>1.0129999999999999</c:v>
                </c:pt>
                <c:pt idx="4">
                  <c:v>1.266</c:v>
                </c:pt>
                <c:pt idx="5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4-40E6-8D96-8125AA746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984190307328605E-2"/>
              <c:y val="8.19416195856873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B1'!$A$4</c:f>
              <c:strCache>
                <c:ptCount val="1"/>
                <c:pt idx="0">
                  <c:v>Exc. 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B1'!$K$12,'mode RTH B1'!$K$20,'mode RTH B1'!$K$28,'mode RTH B1'!$K$36,'mode RTH B1'!$K$44)</c:f>
                <c:numCache>
                  <c:formatCode>General</c:formatCode>
                  <c:ptCount val="6"/>
                  <c:pt idx="0">
                    <c:v>0.287348640704437</c:v>
                  </c:pt>
                  <c:pt idx="1">
                    <c:v>0.31639528238903702</c:v>
                  </c:pt>
                  <c:pt idx="2">
                    <c:v>0.42272067051750895</c:v>
                  </c:pt>
                  <c:pt idx="3">
                    <c:v>0.31696604840540604</c:v>
                  </c:pt>
                  <c:pt idx="4">
                    <c:v>0.423383372644414</c:v>
                  </c:pt>
                  <c:pt idx="5">
                    <c:v>0.43704494541255701</c:v>
                  </c:pt>
                </c:numCache>
              </c:numRef>
            </c:plus>
            <c:minus>
              <c:numRef>
                <c:f>('mode RTH B1'!$K$4,'mode RTH B1'!$K$12,'mode RTH B1'!$K$20,'mode RTH B1'!$K$28,'mode RTH B1'!$K$36,'mode RTH B1'!$K$44)</c:f>
                <c:numCache>
                  <c:formatCode>General</c:formatCode>
                  <c:ptCount val="6"/>
                  <c:pt idx="0">
                    <c:v>0.287348640704437</c:v>
                  </c:pt>
                  <c:pt idx="1">
                    <c:v>0.31639528238903702</c:v>
                  </c:pt>
                  <c:pt idx="2">
                    <c:v>0.42272067051750895</c:v>
                  </c:pt>
                  <c:pt idx="3">
                    <c:v>0.31696604840540604</c:v>
                  </c:pt>
                  <c:pt idx="4">
                    <c:v>0.423383372644414</c:v>
                  </c:pt>
                  <c:pt idx="5">
                    <c:v>0.43704494541255701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B1'!$B$12,'mode RTH B1'!$B$20,'mode RTH B1'!$B$28,'mode RTH B1'!$B$36,'mode RTH B1'!$B$44)</c:f>
              <c:numCache>
                <c:formatCode>0.00</c:formatCode>
                <c:ptCount val="6"/>
                <c:pt idx="0" formatCode="0.0">
                  <c:v>0.19700000000000001</c:v>
                </c:pt>
                <c:pt idx="1">
                  <c:v>-0.10100000000000001</c:v>
                </c:pt>
                <c:pt idx="2">
                  <c:v>0.95499999999999996</c:v>
                </c:pt>
                <c:pt idx="3" formatCode="0.0">
                  <c:v>-0.29799999999999999</c:v>
                </c:pt>
                <c:pt idx="4" formatCode="0.0">
                  <c:v>0.75800000000000001</c:v>
                </c:pt>
                <c:pt idx="5" formatCode="0.0">
                  <c:v>1.056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E-4F86-AF54-23A59AC1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B1'!$A$6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B1'!$K$14,'mode RTH B1'!$K$22,'mode RTH B1'!$K$30,'mode RTH B1'!$K$38,'mode RTH B1'!$K$46)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B1'!$K$6,'mode RTH B1'!$K$14,'mode RTH B1'!$K$22,'mode RTH B1'!$K$30,'mode RTH B1'!$K$38,'mode RTH B1'!$K$46)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B1'!$B$14,'mode RTH B1'!$B$22,'mode RTH B1'!$B$30,'mode RTH B1'!$B$38,'mode RTH B1'!$B$46)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C-4FA6-8690-98F5ADBC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l_f0</c:v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F2-4DF5-8340-0CEE679FFC03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7F2-4DF5-8340-0CEE679FFC03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7F2-4DF5-8340-0CEE679FFC03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7F2-4DF5-8340-0CEE679FFC03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B0'!$K$37:$K$40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only B0'!$K$37:$K$40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9525"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B0'!$B$37:$B$40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F2-4DF5-8340-0CEE679FFC03}"/>
            </c:ext>
          </c:extLst>
        </c:ser>
        <c:ser>
          <c:idx val="2"/>
          <c:order val="1"/>
          <c:tx>
            <c:v>h_f0</c:v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37F2-4DF5-8340-0CEE679FFC03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7F2-4DF5-8340-0CEE679FFC03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37F2-4DF5-8340-0CEE679FFC03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37F2-4DF5-8340-0CEE679FFC03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B0'!$K$43:$K$46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only B0'!$K$43:$K$46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B0'!$B$43:$B$46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F2-4DF5-8340-0CEE679F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B1'!$A$7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B1'!$K$7,'mode RTH B1'!$K$15,'mode RTH B1'!$K$23,'mode RTH B1'!$K$31,'mode RTH B1'!$K$39,'mode RTH B1'!$K$47)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B1'!$K$6,'mode RTH B1'!$K$14,'mode RTH B1'!$K$22,'mode RTH B1'!$K$30,'mode RTH B1'!$K$38,'mode RTH B1'!$K$46)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B1'!$B$7,'mode RTH B1'!$B$15,'mode RTH B1'!$B$23,'mode RTH B1'!$B$31,'mode RTH B1'!$B$39,'mode RTH B1'!$B$47)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9-47BB-98AF-71CA54A33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</a:t>
            </a:r>
            <a:r>
              <a:rPr lang="en-IE" sz="1000" baseline="0"/>
              <a:t> </a:t>
            </a:r>
            <a:r>
              <a:rPr lang="en-IE" sz="1000" i="1" baseline="0"/>
              <a:t>f</a:t>
            </a:r>
            <a:r>
              <a:rPr lang="en-IE" sz="1000" i="0" baseline="-25000"/>
              <a:t>0</a:t>
            </a:r>
            <a:r>
              <a:rPr lang="en-IE" sz="1000" i="0" baseline="0"/>
              <a:t> compared</a:t>
            </a:r>
            <a:endParaRPr lang="en-IE" sz="100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B1'!$B$3,'mode only B1'!$B$8,'mode only B1'!$B$13,'mode only B1'!$B$18,'mode only B1'!$B$23,'mode only B1'!$B$28)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6-48CA-BA6D-07F60AF5CD79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B1'!$K$11,'mode RTH B1'!$K$19,'mode RTH B1'!$K$27,'mode RTH B1'!$K$35,'mode RTH B1'!$K$43)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B1'!$K$3,'mode RTH B1'!$K$11,'mode RTH B1'!$K$19,'mode RTH B1'!$K$27,'mode RTH B1'!$K$35,'mode RTH B1'!$K$43)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B1'!$B$11,'mode RTH B1'!$B$19,'mode RTH B1'!$B$27,'mode RTH B1'!$B$35,'mode RTH B1'!$B$43)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8CA-BA6D-07F60AF5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 </a:t>
            </a:r>
            <a:r>
              <a:rPr lang="en-IE" sz="1000" i="1"/>
              <a:t>f</a:t>
            </a:r>
            <a:r>
              <a:rPr lang="en-IE" sz="1000" i="0" baseline="-25000"/>
              <a:t>0</a:t>
            </a:r>
            <a:r>
              <a:rPr lang="en-IE" sz="1000" i="0"/>
              <a:t> compared</a:t>
            </a:r>
            <a:endParaRPr lang="en-IE" sz="1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 only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B1'!$B$3,'mode only B1'!$B$8,'mode only B1'!$B$13,'mode only B1'!$B$18,'mode only B1'!$B$23,'mode only B1'!$B$28)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8-4D2C-98D5-D9301FD9B965}"/>
            </c:ext>
          </c:extLst>
        </c:ser>
        <c:ser>
          <c:idx val="1"/>
          <c:order val="1"/>
          <c:tx>
            <c:v>mode+phon</c:v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('mode RTH B1'!$K$3,'mode RTH B1'!$K$11,'mode RTH B1'!$K$19,'mode RTH B1'!$K$27,'mode RTH B1'!$K$35,'mode RTH B1'!$K$43)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B1'!$K$3,'mode RTH B1'!$K$11,'mode RTH B1'!$K$19,'mode RTH B1'!$K$27,'mode RTH B1'!$K$35,'mode RTH B1'!$K$43)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B1'!$B$11,'mode RTH B1'!$B$19,'mode RTH B1'!$B$27,'mode RTH B1'!$B$35,'mode RTH B1'!$B$43)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8-4D2C-98D5-D9301FD9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973903"/>
        <c:axId val="193841663"/>
      </c:bar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h_f0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L </a:t>
            </a:r>
            <a:r>
              <a:rPr lang="en-IE" b="0" i="1"/>
              <a:t>f</a:t>
            </a:r>
            <a:r>
              <a:rPr lang="en-IE" b="0" baseline="-25000"/>
              <a:t>0</a:t>
            </a:r>
            <a:r>
              <a:rPr lang="en-IE" b="0"/>
              <a:t>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12700"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B0'!$B$37:$B$40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D-4133-A708-3505C3928508}"/>
            </c:ext>
          </c:extLst>
        </c:ser>
        <c:ser>
          <c:idx val="1"/>
          <c:order val="1"/>
          <c:tx>
            <c:v>mode+phon</c:v>
          </c:tx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B0'!$F$69:$F$72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plus>
            <c:minus>
              <c:numRef>
                <c:f>'mode RTH B0'!$F$69:$F$72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ln w="15875">
                <a:solidFill>
                  <a:srgbClr val="E66101"/>
                </a:solidFill>
              </a:ln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D-4133-A708-3505C392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H </a:t>
            </a:r>
            <a:r>
              <a:rPr lang="en-IE" b="0" i="1"/>
              <a:t>f</a:t>
            </a:r>
            <a:r>
              <a:rPr lang="en-IE" b="0" baseline="-25000"/>
              <a:t>0</a:t>
            </a:r>
            <a:r>
              <a:rPr lang="en-IE" b="0"/>
              <a:t>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CCE-4492-96AC-993B9C4E4D5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12700"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B0'!$B$43:$B$46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E-4492-96AC-993B9C4E4D59}"/>
            </c:ext>
          </c:extLst>
        </c:ser>
        <c:ser>
          <c:idx val="1"/>
          <c:order val="1"/>
          <c:tx>
            <c:v>mode+phon</c:v>
          </c:tx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B0'!$F$69:$F$72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plus>
            <c:minus>
              <c:numRef>
                <c:f>'mode RTH B0'!$F$69:$F$72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ln w="15875">
                <a:solidFill>
                  <a:srgbClr val="E66101"/>
                </a:solidFill>
              </a:ln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B0'!$B$69:$B$72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E-4492-96AC-993B9C4E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f0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5BC8-4DC7-81C1-6A06D4D91282}"/>
              </c:ext>
            </c:extLst>
          </c:dPt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B0'!$B$43:$B$46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8-4DC7-81C1-6A06D4D91282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B0'!$B$37:$B$40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8-4DC7-81C1-6A06D4D91282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B0'!$B$69:$B$72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C8-4DC7-81C1-6A06D4D91282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8-4DC7-81C1-6A06D4D91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5"/>
          <c:min val="8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slopes of H</a:t>
            </a:r>
            <a:r>
              <a:rPr lang="en-IE" sz="1000" b="0" baseline="0"/>
              <a:t> </a:t>
            </a:r>
            <a:r>
              <a:rPr lang="en-IE" sz="1000" b="0" i="1" baseline="0"/>
              <a:t>f</a:t>
            </a:r>
            <a:r>
              <a:rPr lang="en-IE" sz="1000" b="0" i="0" baseline="-25000"/>
              <a:t>0</a:t>
            </a:r>
            <a:r>
              <a:rPr lang="en-IE" sz="1000" b="0" i="0" baseline="0"/>
              <a:t> compared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prstDash val="sysDash"/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6235769929956359E-2"/>
                  <c:y val="-2.6695579731451535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B1'!$A$16,'mode only B1'!$A$6,'mode only B1'!$A$26,'mode only B1'!$A$21,'mode only B1'!$A$11)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only B1'!$B$3,'mode only B1'!$B$18,'mode only B1'!$B$8,'mode only B1'!$B$28,'mode only B1'!$B$23,'mode only B1'!$B$13)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1.3129999999999999</c:v>
                </c:pt>
                <c:pt idx="2">
                  <c:v>1.7190000000000001</c:v>
                </c:pt>
                <c:pt idx="3">
                  <c:v>2.794</c:v>
                </c:pt>
                <c:pt idx="4">
                  <c:v>4.1059999999999999</c:v>
                </c:pt>
                <c:pt idx="5">
                  <c:v>4.5129999999999999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F-4BC0-9ABF-3262E7AD8D95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E66101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657110974900586E-2"/>
                  <c:y val="9.209607468391649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E66101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RTH B1'!$K$3,'mode RTH B1'!$K$11,'mode RTH B1'!$K$19,'mode RTH B1'!$K$27,'mode RTH B1'!$K$35,'mode RTH B1'!$K$43)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B1'!$K$3,'mode RTH B1'!$K$11,'mode RTH B1'!$K$19,'mode RTH B1'!$K$27,'mode RTH B1'!$K$35,'mode RTH B1'!$K$43)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only B1'!$A$1,'mode only B1'!$A$16,'mode only B1'!$A$6,'mode only B1'!$A$26,'mode only B1'!$A$21,'mode only B1'!$A$11)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RTH B1'!$B$3,'mode RTH B1'!$B$27,'mode RTH B1'!$B$11,'mode RTH B1'!$B$43,'mode RTH B1'!$B$35,'mode RTH B1'!$B$19)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0.71199999999999997</c:v>
                </c:pt>
                <c:pt idx="2">
                  <c:v>1.129</c:v>
                </c:pt>
                <c:pt idx="3">
                  <c:v>1.171</c:v>
                </c:pt>
                <c:pt idx="4">
                  <c:v>1.883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F-4BC0-9ABF-3262E7AD8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B0'!$A$34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B0'!$A$36:$A$43</c15:sqref>
                  </c15:fullRef>
                </c:ext>
              </c:extLst>
              <c:f>'mode RTH B0'!$A$40:$A$43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'mode RTH B0'!$A$45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80.440403188798996</c:v>
                  </c:pt>
                  <c:pt idx="1">
                    <c:v>80.676224537538985</c:v>
                  </c:pt>
                  <c:pt idx="2">
                    <c:v>80.034574451190991</c:v>
                  </c:pt>
                  <c:pt idx="3">
                    <c:v>80.15826092883799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80.440403188798996</c:v>
                  </c:pt>
                  <c:pt idx="1">
                    <c:v>80.676224537538985</c:v>
                  </c:pt>
                  <c:pt idx="2">
                    <c:v>80.034574451190991</c:v>
                  </c:pt>
                  <c:pt idx="3">
                    <c:v>80.15826092883799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B0'!$A$36:$A$43</c15:sqref>
                  </c15:fullRef>
                </c:ext>
              </c:extLst>
              <c:f>'mode RTH B0'!$A$40:$A$43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 RTH B0'!$A$78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86-453D-9BE0-0341CFFF2771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6-453D-9BE0-0341CFFF2771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86-453D-9BE0-0341CFFF2771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86-453D-9BE0-0341CFFF2771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B0'!$F$80:$F$87</c15:sqref>
                    </c15:fullRef>
                  </c:ext>
                </c:extLst>
                <c:f>'mode RTH B0'!$F$84:$F$87</c:f>
                <c:numCache>
                  <c:formatCode>General</c:formatCode>
                  <c:ptCount val="4"/>
                  <c:pt idx="0">
                    <c:v>0.97087092240331963</c:v>
                  </c:pt>
                  <c:pt idx="1">
                    <c:v>1.8099495467001099</c:v>
                  </c:pt>
                  <c:pt idx="2">
                    <c:v>1.1207178530635087</c:v>
                  </c:pt>
                  <c:pt idx="3">
                    <c:v>1.0628308815477503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B0'!$F$80:$F$87</c15:sqref>
                    </c15:fullRef>
                  </c:ext>
                </c:extLst>
                <c:f>'mode RTH B0'!$F$84:$F$87</c:f>
                <c:numCache>
                  <c:formatCode>General</c:formatCode>
                  <c:ptCount val="4"/>
                  <c:pt idx="0">
                    <c:v>0.97087092240331963</c:v>
                  </c:pt>
                  <c:pt idx="1">
                    <c:v>1.8099495467001099</c:v>
                  </c:pt>
                  <c:pt idx="2">
                    <c:v>1.1207178530635087</c:v>
                  </c:pt>
                  <c:pt idx="3">
                    <c:v>1.0628308815477503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B0'!$A$80:$A$87</c15:sqref>
                  </c15:fullRef>
                </c:ext>
              </c:extLst>
              <c:f>'mode RTH B0'!$A$84:$A$87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B0'!$B$80:$B$87</c15:sqref>
                  </c15:fullRef>
                </c:ext>
              </c:extLst>
              <c:f>'mode RTH B0'!$B$84:$B$87</c:f>
              <c:numCache>
                <c:formatCode>0.0</c:formatCode>
                <c:ptCount val="4"/>
                <c:pt idx="0">
                  <c:v>5.9409999999999998</c:v>
                </c:pt>
                <c:pt idx="1">
                  <c:v>3.109</c:v>
                </c:pt>
                <c:pt idx="2">
                  <c:v>9.5719999999999992</c:v>
                </c:pt>
                <c:pt idx="3">
                  <c:v>7.1260000000000003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B0'!$B$80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B0'!$B$81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B0'!$B$82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B0'!$B$83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86-453D-9BE0-0341CFFF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B0'!$A$56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B0'!$A$69:$A$76</c15:sqref>
                  </c15:fullRef>
                </c:ext>
              </c:extLst>
              <c:f>'mode RTH B0'!$A$73:$A$76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'mode RTH B0'!$A$67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B0'!$F$70:$F$76</c15:sqref>
                    </c15:fullRef>
                  </c:ext>
                </c:extLst>
                <c:f>'mode RTH B0'!$F$74:$F$76</c:f>
                <c:numCache>
                  <c:formatCode>General</c:formatCode>
                  <c:ptCount val="3"/>
                  <c:pt idx="0">
                    <c:v>4.4272797056356978</c:v>
                  </c:pt>
                  <c:pt idx="1">
                    <c:v>4.0922008857589987</c:v>
                  </c:pt>
                  <c:pt idx="2">
                    <c:v>4.072012208275396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B0'!$F$69:$F$76</c15:sqref>
                    </c15:fullRef>
                  </c:ext>
                </c:extLst>
                <c:f>'mode RTH B0'!$F$73:$F$76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4.4272797056356978</c:v>
                  </c:pt>
                  <c:pt idx="2">
                    <c:v>4.0922008857589987</c:v>
                  </c:pt>
                  <c:pt idx="3">
                    <c:v>4.072012208275396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B0'!$A$69:$A$76</c15:sqref>
                  </c15:fullRef>
                </c:ext>
              </c:extLst>
              <c:f>'mode RTH B0'!$A$73:$A$76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B0'!$B$69:$B$76</c15:sqref>
                  </c15:fullRef>
                </c:ext>
              </c:extLst>
              <c:f>'mode RTH B0'!$B$73:$B$76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B0'!$B$69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B0'!$B$70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B0'!$B$71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B0'!$B$72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/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only B0'!$A$24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B0'!$K$24,'mode only B0'!$K$30)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plus>
            <c:minus>
              <c:numRef>
                <c:f>('mode only B0'!$K$24,'mode only B0'!$K$30)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B0'!$K$37,'mode only B0'!$K$43)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plus>
            <c:minus>
              <c:numRef>
                <c:f>('mode only B0'!$K$37,'mode only B0'!$K$43)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('mode only B0'!$B$24,'mode only B0'!$B$30)</c:f>
              <c:numCache>
                <c:formatCode>0</c:formatCode>
                <c:ptCount val="2"/>
                <c:pt idx="0">
                  <c:v>66.206999999999994</c:v>
                </c:pt>
                <c:pt idx="1">
                  <c:v>267.09500000000003</c:v>
                </c:pt>
              </c:numCache>
            </c:numRef>
          </c:xVal>
          <c:yVal>
            <c:numRef>
              <c:f>('mode only B0'!$B$37,'mode only B0'!$B$43)</c:f>
              <c:numCache>
                <c:formatCode>0.0</c:formatCode>
                <c:ptCount val="2"/>
                <c:pt idx="0">
                  <c:v>84.262</c:v>
                </c:pt>
                <c:pt idx="1">
                  <c:v>90.093999999999994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F-4BF9-BCF6-BCB6E3A4CFB1}"/>
            </c:ext>
          </c:extLst>
        </c:ser>
        <c:ser>
          <c:idx val="2"/>
          <c:order val="1"/>
          <c:tx>
            <c:strRef>
              <c:f>'mode only B0'!$A$25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B0'!$K$25,'mode only B0'!$K$31)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plus>
            <c:minus>
              <c:numRef>
                <c:f>('mode only B0'!$K$25,'mode only B0'!$K$31)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B0'!$K$38,'mode only B0'!$K$44)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plus>
            <c:minus>
              <c:numRef>
                <c:f>('mode only B0'!$K$38,'mode only B0'!$K$44)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only B0'!$B$25,'mode only B0'!$B$31)</c:f>
              <c:numCache>
                <c:formatCode>0</c:formatCode>
                <c:ptCount val="2"/>
                <c:pt idx="0">
                  <c:v>66.611000000000004</c:v>
                </c:pt>
                <c:pt idx="1">
                  <c:v>266.72199999999998</c:v>
                </c:pt>
              </c:numCache>
            </c:numRef>
          </c:xVal>
          <c:yVal>
            <c:numRef>
              <c:f>('mode only B0'!$B$38,'mode only B0'!$B$44)</c:f>
              <c:numCache>
                <c:formatCode>0.0</c:formatCode>
                <c:ptCount val="2"/>
                <c:pt idx="0">
                  <c:v>84.387</c:v>
                </c:pt>
                <c:pt idx="1">
                  <c:v>90.501000000000005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F-4BF9-BCF6-BCB6E3A4CFB1}"/>
            </c:ext>
          </c:extLst>
        </c:ser>
        <c:ser>
          <c:idx val="3"/>
          <c:order val="2"/>
          <c:tx>
            <c:strRef>
              <c:f>'mode only B0'!$A$26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B0'!$K$26,'mode only B0'!$K$32)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plus>
            <c:minus>
              <c:numRef>
                <c:f>('mode only B0'!$K$26,'mode only B0'!$K$32)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B0'!$K$39,'mode only B0'!$K$45)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plus>
            <c:minus>
              <c:numRef>
                <c:f>('mode only B0'!$K$39,'mode only B0'!$K$45)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only B0'!$B$26,'mode only B0'!$B$32)</c:f>
              <c:numCache>
                <c:formatCode>0</c:formatCode>
                <c:ptCount val="2"/>
                <c:pt idx="0">
                  <c:v>63.911999999999999</c:v>
                </c:pt>
                <c:pt idx="1">
                  <c:v>264.61700000000002</c:v>
                </c:pt>
              </c:numCache>
            </c:numRef>
          </c:xVal>
          <c:yVal>
            <c:numRef>
              <c:f>('mode only B0'!$B$39,'mode only B0'!$B$45)</c:f>
              <c:numCache>
                <c:formatCode>0.0</c:formatCode>
                <c:ptCount val="2"/>
                <c:pt idx="0">
                  <c:v>85.884</c:v>
                </c:pt>
                <c:pt idx="1">
                  <c:v>91.813000000000002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6F-4BF9-BCF6-BCB6E3A4CFB1}"/>
            </c:ext>
          </c:extLst>
        </c:ser>
        <c:ser>
          <c:idx val="0"/>
          <c:order val="3"/>
          <c:tx>
            <c:strRef>
              <c:f>'mode only B0'!$A$27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B0'!$K$27,'mode only B0'!$K$33)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plus>
            <c:minus>
              <c:numRef>
                <c:f>('mode only B0'!$K$27,'mode only B0'!$K$33)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B0'!$K$40,'mode only B0'!$K$46)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plus>
            <c:minus>
              <c:numRef>
                <c:f>('mode only B0'!$K$40,'mode only B0'!$K$46)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only B0'!$B$27,'mode only B0'!$B$33)</c:f>
              <c:numCache>
                <c:formatCode>0</c:formatCode>
                <c:ptCount val="2"/>
                <c:pt idx="0">
                  <c:v>45.158999999999999</c:v>
                </c:pt>
                <c:pt idx="1">
                  <c:v>250.261</c:v>
                </c:pt>
              </c:numCache>
            </c:numRef>
          </c:xVal>
          <c:yVal>
            <c:numRef>
              <c:f>('mode only B0'!$B$40,'mode only B0'!$B$46)</c:f>
              <c:numCache>
                <c:formatCode>0.0</c:formatCode>
                <c:ptCount val="2"/>
                <c:pt idx="0">
                  <c:v>86.745000000000005</c:v>
                </c:pt>
                <c:pt idx="1">
                  <c:v>94.606999999999999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6F-4BF9-BCF6-BCB6E3A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28964275582536"/>
          <c:y val="0.1925129807674591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 RTH B0'!$A$89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1-41C9-8717-381752C232C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81-41C9-8717-381752C232C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81-41C9-8717-381752C232C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81-41C9-8717-381752C232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B0'!$F$91:$F$98</c15:sqref>
                    </c15:fullRef>
                  </c:ext>
                </c:extLst>
                <c:f>'mode RTH B0'!$F$95:$F$98</c:f>
                <c:numCache>
                  <c:formatCode>General</c:formatCode>
                  <c:ptCount val="4"/>
                  <c:pt idx="0">
                    <c:v>15.428717373749897</c:v>
                  </c:pt>
                  <c:pt idx="1">
                    <c:v>15.366930006045749</c:v>
                  </c:pt>
                  <c:pt idx="2">
                    <c:v>14.731784294459899</c:v>
                  </c:pt>
                  <c:pt idx="3">
                    <c:v>14.918557356538397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B0'!$F$91:$F$98</c15:sqref>
                    </c15:fullRef>
                  </c:ext>
                </c:extLst>
                <c:f>'mode RTH B0'!$F$95:$F$98</c:f>
                <c:numCache>
                  <c:formatCode>General</c:formatCode>
                  <c:ptCount val="4"/>
                  <c:pt idx="0">
                    <c:v>15.428717373749897</c:v>
                  </c:pt>
                  <c:pt idx="1">
                    <c:v>15.366930006045749</c:v>
                  </c:pt>
                  <c:pt idx="2">
                    <c:v>14.731784294459899</c:v>
                  </c:pt>
                  <c:pt idx="3">
                    <c:v>14.918557356538397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B0'!$A$91:$A$98</c15:sqref>
                  </c15:fullRef>
                </c:ext>
              </c:extLst>
              <c:f>'mode RTH B0'!$A$95:$A$98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B0'!$B$91:$B$98</c15:sqref>
                  </c15:fullRef>
                </c:ext>
              </c:extLst>
              <c:f>'mode RTH B0'!$B$95:$B$98</c:f>
              <c:numCache>
                <c:formatCode>0.0</c:formatCode>
                <c:ptCount val="4"/>
                <c:pt idx="0">
                  <c:v>34.866999999999997</c:v>
                </c:pt>
                <c:pt idx="1">
                  <c:v>22.114999999999998</c:v>
                </c:pt>
                <c:pt idx="2">
                  <c:v>53.122999999999998</c:v>
                </c:pt>
                <c:pt idx="3">
                  <c:v>39.985999999999997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B0'!$B$91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B0'!$B$92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B0'!$B$93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B0'!$B$94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7481-41C9-8717-381752C2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B0'!$A$40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B0'!$F$62,'mode RTH B0'!$F$73)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B0'!$F$62,'mode RTH B0'!$F$73)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B0'!$F$40,'mode RTH B0'!$F$51)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80.440403188798996</c:v>
                  </c:pt>
                </c:numCache>
              </c:numRef>
            </c:plus>
            <c:minus>
              <c:numRef>
                <c:f>('mode RTH B0'!$F$40,'mode RTH B0'!$F$51)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80.440403188798996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B0'!$B$40,'mode RTH B0'!$B$51)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B0'!$B$62,'mode RTH B0'!$B$73)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'mode RTH B0'!$A$41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B0'!$F$63,'mode RTH B0'!$F$74)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plus>
            <c:minus>
              <c:numRef>
                <c:f>('mode RTH B0'!$F$63,'mode RTH B0'!$F$74)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B0'!$F$41,'mode RTH B0'!$F$52)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80.676224537538985</c:v>
                  </c:pt>
                </c:numCache>
              </c:numRef>
            </c:plus>
            <c:minus>
              <c:numRef>
                <c:f>('mode RTH B0'!$F$41,'mode RTH B0'!$F$52)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80.676224537538985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B0'!$B$41,'mode RTH B0'!$B$52)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B0'!$B$63,'mode RTH B0'!$B$74)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'mode RTH B0'!$A$42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B0'!$F$64,'mode RTH B0'!$F$75)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plus>
            <c:minus>
              <c:numRef>
                <c:f>('mode RTH B0'!$F$64,'mode RTH B0'!$F$75)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B0'!$F$42,'mode RTH B0'!$F$53)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80.034574451190991</c:v>
                  </c:pt>
                </c:numCache>
              </c:numRef>
            </c:plus>
            <c:minus>
              <c:numRef>
                <c:f>('mode RTH B0'!$F$42,'mode RTH B0'!$F$53)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80.034574451190991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B0'!$B$42,'mode RTH B0'!$B$53)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B0'!$B$64,'mode RTH B0'!$B$75)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'mode RTH B0'!$A$43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B0'!$F$65,'mode RTH B0'!$F$76)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plus>
            <c:minus>
              <c:numRef>
                <c:f>('mode RTH B0'!$F$65,'mode RTH B0'!$F$76)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B0'!$F$43,'mode RTH B0'!$F$54)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80.15826092883799</c:v>
                  </c:pt>
                </c:numCache>
              </c:numRef>
            </c:plus>
            <c:minus>
              <c:numRef>
                <c:f>('mode RTH B0'!$F$43,'mode RTH B0'!$F$54)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80.15826092883799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B0'!$B$43,'mode RTH B0'!$B$54)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B0'!$B$65,'mode RTH B0'!$B$76)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EB-4E23-A69D-FAD945F85729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EB-4E23-A69D-FAD945F85729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EB-4E23-A69D-FAD945F85729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EB-4E23-A69D-FAD945F8572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B0'!$K$10:$K$13</c:f>
                <c:numCache>
                  <c:formatCode>General</c:formatCode>
                  <c:ptCount val="4"/>
                  <c:pt idx="0">
                    <c:v>-4.16282891543577</c:v>
                  </c:pt>
                  <c:pt idx="1">
                    <c:v>-4.2763356740591654</c:v>
                  </c:pt>
                  <c:pt idx="2">
                    <c:v>-4.1454741533326196</c:v>
                  </c:pt>
                  <c:pt idx="3">
                    <c:v>-4.3008921454628801</c:v>
                  </c:pt>
                </c:numCache>
              </c:numRef>
            </c:plus>
            <c:minus>
              <c:numRef>
                <c:f>'Utt B0'!$K$10:$K$13</c:f>
                <c:numCache>
                  <c:formatCode>General</c:formatCode>
                  <c:ptCount val="4"/>
                  <c:pt idx="0">
                    <c:v>-4.16282891543577</c:v>
                  </c:pt>
                  <c:pt idx="1">
                    <c:v>-4.2763356740591654</c:v>
                  </c:pt>
                  <c:pt idx="2">
                    <c:v>-4.1454741533326196</c:v>
                  </c:pt>
                  <c:pt idx="3">
                    <c:v>-4.3008921454628801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B0'!$A$10:$A$13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B0'!$B$10:$B$13</c:f>
              <c:numCache>
                <c:formatCode>0.00</c:formatCode>
                <c:ptCount val="4"/>
                <c:pt idx="0">
                  <c:v>-1.9490000000000001</c:v>
                </c:pt>
                <c:pt idx="1">
                  <c:v>-4.0419999999999998</c:v>
                </c:pt>
                <c:pt idx="2">
                  <c:v>0.95799999999999996</c:v>
                </c:pt>
                <c:pt idx="3">
                  <c:v>3.121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EB-4E23-A69D-FAD945F8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8E-45BA-ADA7-70BE1EBE8C1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8E-45BA-ADA7-70BE1EBE8C1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8E-45BA-ADA7-70BE1EBE8C1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8E-45BA-ADA7-70BE1EBE8C17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-3.6105682313773997</c:v>
                  </c:pt>
                  <c:pt idx="1">
                    <c:v>-3.2832849483673101</c:v>
                  </c:pt>
                  <c:pt idx="2">
                    <c:v>-3.4313201102335995</c:v>
                  </c:pt>
                  <c:pt idx="3">
                    <c:v>-3.7964852688148056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-3.6105682313773997</c:v>
                  </c:pt>
                  <c:pt idx="1">
                    <c:v>-3.2832849483673101</c:v>
                  </c:pt>
                  <c:pt idx="2">
                    <c:v>-3.4313201102335995</c:v>
                  </c:pt>
                  <c:pt idx="3">
                    <c:v>-3.7964852688148056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0.00</c:formatCode>
                <c:ptCount val="4"/>
                <c:pt idx="0">
                  <c:v>86.793999999999997</c:v>
                </c:pt>
                <c:pt idx="1">
                  <c:v>87.263999999999996</c:v>
                </c:pt>
                <c:pt idx="2">
                  <c:v>87.325999999999993</c:v>
                </c:pt>
                <c:pt idx="3">
                  <c:v>88.405000000000001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8E-45BA-ADA7-70BE1EBE8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 (no</a:t>
            </a:r>
            <a:r>
              <a:rPr lang="en-US" baseline="0"/>
              <a:t> phonology)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B0'!$A$15</c:f>
              <c:strCache>
                <c:ptCount val="1"/>
                <c:pt idx="0">
                  <c:v>Slope no phonology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'Utt B0'!$K$17:$K$20</c:f>
                <c:numCache>
                  <c:formatCode>General</c:formatCode>
                  <c:ptCount val="4"/>
                  <c:pt idx="0">
                    <c:v>-1.6148734140740399</c:v>
                  </c:pt>
                  <c:pt idx="1">
                    <c:v>-1.9880713012542963</c:v>
                  </c:pt>
                  <c:pt idx="2">
                    <c:v>-1.5323189993808897</c:v>
                  </c:pt>
                  <c:pt idx="3">
                    <c:v>-2.4023685128481089</c:v>
                  </c:pt>
                </c:numCache>
              </c:numRef>
            </c:plus>
            <c:minus>
              <c:numRef>
                <c:f>'Utt B0'!$K$17:$K$20</c:f>
                <c:numCache>
                  <c:formatCode>General</c:formatCode>
                  <c:ptCount val="4"/>
                  <c:pt idx="0">
                    <c:v>-1.6148734140740399</c:v>
                  </c:pt>
                  <c:pt idx="1">
                    <c:v>-1.9880713012542963</c:v>
                  </c:pt>
                  <c:pt idx="2">
                    <c:v>-1.5323189993808897</c:v>
                  </c:pt>
                  <c:pt idx="3">
                    <c:v>-2.4023685128481089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B0'!$A$17:$A$20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B0'!$B$17:$B$20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7-42C4-B5E1-5B18DD0B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B0'!$A$40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('mode RTH B0'!$B$40,'mode RTH B0'!$B$51)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B0'!$B$62,'mode RTH B0'!$B$73)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'mode RTH B0'!$A$41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('mode RTH B0'!$B$41,'mode RTH B0'!$B$52)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B0'!$B$63,'mode RTH B0'!$B$74)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'mode RTH B0'!$A$42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('mode RTH B0'!$B$42,'mode RTH B0'!$B$53)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B0'!$B$64,'mode RTH B0'!$B$75)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'mode RTH B0'!$A$43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('mode RTH B0'!$B$43,'mode RTH B0'!$B$54)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B0'!$B$65,'mode RTH B0'!$B$76)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('mode RTH B0'!$B$37,'mode RTH B0'!$B$48)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B0'!$B$59,'mode RTH B0'!$B$70)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('mode RTH B0'!$B$39,'mode RTH B0'!$B$50)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  <c:extLst xmlns:c15="http://schemas.microsoft.com/office/drawing/2012/chart"/>
            </c:numRef>
          </c:xVal>
          <c:yVal>
            <c:numRef>
              <c:f>('mode RTH B0'!$B$61,'mode RTH B0'!$B$72)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('mode RTH B0'!$B$36,'mode RTH B0'!$B$47)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  <c:extLst xmlns:c15="http://schemas.microsoft.com/office/drawing/2012/chart"/>
            </c:numRef>
          </c:xVal>
          <c:yVal>
            <c:numRef>
              <c:f>('mode RTH B0'!$B$58,'mode RTH B0'!$B$69)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B0'!$B$38,'mode RTH B0'!$B$49)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69.475999999999999</c:v>
                      </c:pt>
                      <c:pt idx="1">
                        <c:v>268.13499999999999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B0'!$B$60,'mode RTH B0'!$B$71)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85.177999999999997</c:v>
                      </c:pt>
                      <c:pt idx="1">
                        <c:v>91.29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B1'!$A$2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B1'!$K$2,'mode only B1'!$K$7,'mode only B1'!$K$12,'mode only B1'!$K$17,'mode only B1'!$K$22,'mode only B1'!$K$27)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only B1'!$K$2,'mode only B1'!$K$7,'mode only B1'!$K$12,'mode only B1'!$K$17,'mode only B1'!$K$22,'mode only B1'!$K$27)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B1'!$B$2,'mode only B1'!$B$7,'mode only B1'!$B$12,'mode only B1'!$B$17,'mode only B1'!$B$22,'mode only B1'!$B$27)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5-4D9C-B422-0FD73F37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B1'!$A$3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B1'!$B$3,'mode only B1'!$B$8,'mode only B1'!$B$13,'mode only B1'!$B$18,'mode only B1'!$B$23,'mode only B1'!$B$28)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0-4F28-945A-F1909CEFE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B1'!$A$4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B1'!$K$3,'mode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only B1'!$K$3,'mode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B1'!$B$4,'mode only B1'!$B$9,'mode only B1'!$B$14,'mode only B1'!$B$19,'mode only B1'!$B$24,'mode only B1'!$B$29)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1-456F-9AAC-F5D1DC8E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B1'!$A$10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B1'!$K$5,'mode only B1'!$K$10,'mode only B1'!$K$15,'mode only B1'!$K$20,'mode only B1'!$K$25,'mode only B1'!$K$30)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only B1'!$K$5,'mode only B1'!$K$10,'mode only B1'!$K$15,'mode only B1'!$K$20,'mode only B1'!$K$25,'mode only B1'!$K$30)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B1'!$B$5,'mode only B1'!$B$10,'mode only B1'!$B$15,'mode only B1'!$B$20,'mode only B1'!$B$25,'mode only B1'!$B$30)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E-4273-9519-BD80B878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B0'!$A$34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C69-43BC-9FAD-AE948A63E353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C69-43BC-9FAD-AE948A63E353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C69-43BC-9FAD-AE948A63E353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C69-43BC-9FAD-AE948A63E353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B0'!$A$36:$A$43</c15:sqref>
                  </c15:fullRef>
                </c:ext>
              </c:extLst>
              <c:f>'mode RTH B0'!$A$36:$A$39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B0'!$B$36:$B$39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DC69-43BC-9FAD-AE948A63E353}"/>
            </c:ext>
          </c:extLst>
        </c:ser>
        <c:ser>
          <c:idx val="2"/>
          <c:order val="1"/>
          <c:tx>
            <c:strRef>
              <c:f>'mode RTH B0'!$A$45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C69-43BC-9FAD-AE948A63E353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C69-43BC-9FAD-AE948A63E353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C69-43BC-9FAD-AE948A63E353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C69-43BC-9FAD-AE948A63E353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80.440403188798996</c:v>
                  </c:pt>
                  <c:pt idx="1">
                    <c:v>80.439739480653969</c:v>
                  </c:pt>
                  <c:pt idx="2">
                    <c:v>80.420348288878984</c:v>
                  </c:pt>
                  <c:pt idx="3">
                    <c:v>80.373679155144004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80.440403188798996</c:v>
                  </c:pt>
                  <c:pt idx="1">
                    <c:v>80.439739480653969</c:v>
                  </c:pt>
                  <c:pt idx="2">
                    <c:v>80.420348288878984</c:v>
                  </c:pt>
                  <c:pt idx="3">
                    <c:v>80.373679155144004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B0'!$A$36:$A$43</c15:sqref>
                  </c15:fullRef>
                </c:ext>
              </c:extLst>
              <c:f>'mode RTH B0'!$A$36:$A$39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B0'!$B$47:$B$50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B0'!$B$51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B0'!$B$52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B0'!$B$53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B0'!$B$54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DC69-43BC-9FAD-AE948A63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B0'!$A$56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340-458A-BD3A-CA34806E11A8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340-458A-BD3A-CA34806E11A8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340-458A-BD3A-CA34806E11A8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340-458A-BD3A-CA34806E11A8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B0'!$F$58:$F$61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B0'!$F$58:$F$61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B0'!$A$69:$A$76</c15:sqref>
                  </c15:fullRef>
                </c:ext>
              </c:extLst>
              <c:f>'mode RTH B0'!$A$69:$A$72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B0'!$B$58:$B$61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5340-458A-BD3A-CA34806E11A8}"/>
            </c:ext>
          </c:extLst>
        </c:ser>
        <c:ser>
          <c:idx val="2"/>
          <c:order val="1"/>
          <c:tx>
            <c:strRef>
              <c:f>'mode RTH B0'!$A$67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5340-458A-BD3A-CA34806E11A8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5340-458A-BD3A-CA34806E11A8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5340-458A-BD3A-CA34806E11A8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5340-458A-BD3A-CA34806E11A8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B0'!$F$70:$F$76</c15:sqref>
                    </c15:fullRef>
                  </c:ext>
                </c:extLst>
                <c:f>'mode RTH B0'!$F$70:$F$73</c:f>
                <c:numCache>
                  <c:formatCode>General</c:formatCode>
                  <c:ptCount val="4"/>
                  <c:pt idx="0">
                    <c:v>4.0375767490794061</c:v>
                  </c:pt>
                  <c:pt idx="1">
                    <c:v>4.0397423903875023</c:v>
                  </c:pt>
                  <c:pt idx="2">
                    <c:v>4.0433346255818918</c:v>
                  </c:pt>
                  <c:pt idx="3">
                    <c:v>4.0369562376811956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B0'!$F$69:$F$76</c15:sqref>
                    </c15:fullRef>
                  </c:ext>
                </c:extLst>
                <c:f>'mode RTH B0'!$F$69:$F$72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B0'!$A$69:$A$76</c15:sqref>
                  </c15:fullRef>
                </c:ext>
              </c:extLst>
              <c:f>'mode RTH B0'!$A$69:$A$72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B0'!$B$69:$B$76</c15:sqref>
                  </c15:fullRef>
                </c:ext>
              </c:extLst>
              <c:f>'mode RTH B0'!$B$69:$B$72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B0'!$B$73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B0'!$B$74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B0'!$B$75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B0'!$B$76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5340-458A-BD3A-CA34806E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2136</xdr:rowOff>
    </xdr:from>
    <xdr:to>
      <xdr:col>5</xdr:col>
      <xdr:colOff>333600</xdr:colOff>
      <xdr:row>8</xdr:row>
      <xdr:rowOff>170393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4E17BD-7C7F-4355-97D4-C66B5DCF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0</xdr:row>
      <xdr:rowOff>0</xdr:rowOff>
    </xdr:from>
    <xdr:to>
      <xdr:col>9</xdr:col>
      <xdr:colOff>546960</xdr:colOff>
      <xdr:row>8</xdr:row>
      <xdr:rowOff>168257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1AF7A63-98D2-4CE1-8192-F8763CC11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30</xdr:col>
      <xdr:colOff>441152</xdr:colOff>
      <xdr:row>15</xdr:row>
      <xdr:rowOff>129180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909DB84-35E7-40AB-B137-225B5BDAD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6</xdr:col>
      <xdr:colOff>246353</xdr:colOff>
      <xdr:row>21</xdr:row>
      <xdr:rowOff>112320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9A0268-2D0B-4F90-A92F-98583CAD9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149258</xdr:colOff>
      <xdr:row>10</xdr:row>
      <xdr:rowOff>0</xdr:rowOff>
    </xdr:from>
    <xdr:to>
      <xdr:col>11</xdr:col>
      <xdr:colOff>485258</xdr:colOff>
      <xdr:row>21</xdr:row>
      <xdr:rowOff>112320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CB56D9-CB1E-48DA-BBE7-0672AF5C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18</xdr:col>
      <xdr:colOff>129812</xdr:colOff>
      <xdr:row>21</xdr:row>
      <xdr:rowOff>112320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1ED415B-2A84-48C1-A6AE-9413A7802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33165</xdr:colOff>
      <xdr:row>10</xdr:row>
      <xdr:rowOff>0</xdr:rowOff>
    </xdr:from>
    <xdr:to>
      <xdr:col>23</xdr:col>
      <xdr:colOff>369165</xdr:colOff>
      <xdr:row>21</xdr:row>
      <xdr:rowOff>112320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EC67948-69C1-4DA0-956D-55A4174A4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279953</xdr:colOff>
      <xdr:row>9</xdr:row>
      <xdr:rowOff>36988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EC0A84F-F8EE-45FD-844D-61E2E66E1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0</xdr:row>
      <xdr:rowOff>0</xdr:rowOff>
    </xdr:from>
    <xdr:to>
      <xdr:col>9</xdr:col>
      <xdr:colOff>582960</xdr:colOff>
      <xdr:row>9</xdr:row>
      <xdr:rowOff>36988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11E658D-5A16-4DEF-8A06-1557AD02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0</xdr:row>
      <xdr:rowOff>0</xdr:rowOff>
    </xdr:from>
    <xdr:to>
      <xdr:col>20</xdr:col>
      <xdr:colOff>11012</xdr:colOff>
      <xdr:row>9</xdr:row>
      <xdr:rowOff>36988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1C07113-BAB4-47B7-8052-1734AF8B5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369600</xdr:colOff>
      <xdr:row>9</xdr:row>
      <xdr:rowOff>36988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AEB787BA-6311-4C15-A179-BC1B41397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25</xdr:col>
      <xdr:colOff>118588</xdr:colOff>
      <xdr:row>9</xdr:row>
      <xdr:rowOff>36988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82207881-2F9D-4874-AC27-9BFD41D5E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30</xdr:col>
      <xdr:colOff>208070</xdr:colOff>
      <xdr:row>16</xdr:row>
      <xdr:rowOff>38329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263526AC-AC24-4489-ADB4-1CB9B6FD9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70373</xdr:colOff>
      <xdr:row>22</xdr:row>
      <xdr:rowOff>0</xdr:rowOff>
    </xdr:from>
    <xdr:to>
      <xdr:col>18</xdr:col>
      <xdr:colOff>200185</xdr:colOff>
      <xdr:row>33</xdr:row>
      <xdr:rowOff>112319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93D0E9B-7A42-48E2-BF7A-B8346819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6</xdr:col>
      <xdr:colOff>246353</xdr:colOff>
      <xdr:row>21</xdr:row>
      <xdr:rowOff>112320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1CE8691-8AF5-45BB-A5F6-828F24E7F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283733</xdr:colOff>
      <xdr:row>10</xdr:row>
      <xdr:rowOff>0</xdr:rowOff>
    </xdr:from>
    <xdr:to>
      <xdr:col>12</xdr:col>
      <xdr:colOff>10133</xdr:colOff>
      <xdr:row>21</xdr:row>
      <xdr:rowOff>112320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9227BC2-8B13-47F1-89D5-41081EA0A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246353</xdr:colOff>
      <xdr:row>33</xdr:row>
      <xdr:rowOff>112319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D7F883-9A11-46D9-A5CB-74F29BB1C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277906</xdr:colOff>
      <xdr:row>22</xdr:row>
      <xdr:rowOff>0</xdr:rowOff>
    </xdr:from>
    <xdr:to>
      <xdr:col>12</xdr:col>
      <xdr:colOff>4306</xdr:colOff>
      <xdr:row>33</xdr:row>
      <xdr:rowOff>112319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B320166-7E23-443F-8CBC-61A7765D6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18</xdr:col>
      <xdr:colOff>129812</xdr:colOff>
      <xdr:row>21</xdr:row>
      <xdr:rowOff>112320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798BED5-D938-47A5-A3AA-1AABDBCCA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203500</xdr:colOff>
      <xdr:row>10</xdr:row>
      <xdr:rowOff>0</xdr:rowOff>
    </xdr:from>
    <xdr:to>
      <xdr:col>23</xdr:col>
      <xdr:colOff>539500</xdr:colOff>
      <xdr:row>21</xdr:row>
      <xdr:rowOff>112320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D2F064A-9D93-414E-BCF7-66A8D9EFA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342900</xdr:colOff>
      <xdr:row>18</xdr:row>
      <xdr:rowOff>21171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DF634-FE28-4A57-9C31-4D147D973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421334</xdr:colOff>
      <xdr:row>0</xdr:row>
      <xdr:rowOff>0</xdr:rowOff>
    </xdr:from>
    <xdr:to>
      <xdr:col>14</xdr:col>
      <xdr:colOff>538516</xdr:colOff>
      <xdr:row>18</xdr:row>
      <xdr:rowOff>21171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C04E9-BB8D-48C4-9E71-C81E07C64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6</xdr:col>
      <xdr:colOff>71719</xdr:colOff>
      <xdr:row>37</xdr:row>
      <xdr:rowOff>19906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3CB2E1-B4C3-408B-AF42-07476E948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188257</xdr:colOff>
      <xdr:row>19</xdr:row>
      <xdr:rowOff>0</xdr:rowOff>
    </xdr:from>
    <xdr:to>
      <xdr:col>12</xdr:col>
      <xdr:colOff>259976</xdr:colOff>
      <xdr:row>37</xdr:row>
      <xdr:rowOff>19906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BB9994D-3E1E-40F3-AE18-7EF69E25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32657</xdr:colOff>
      <xdr:row>0</xdr:row>
      <xdr:rowOff>0</xdr:rowOff>
    </xdr:from>
    <xdr:to>
      <xdr:col>25</xdr:col>
      <xdr:colOff>229881</xdr:colOff>
      <xdr:row>26</xdr:row>
      <xdr:rowOff>35858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1D7931-6E93-43E9-8949-CA8E36212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19</xdr:col>
      <xdr:colOff>160020</xdr:colOff>
      <xdr:row>45</xdr:row>
      <xdr:rowOff>156000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8834C8-BBF8-4823-985B-711AB0E55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8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8</xdr:col>
      <xdr:colOff>166320</xdr:colOff>
      <xdr:row>24</xdr:row>
      <xdr:rowOff>177711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089A2-16CC-4741-A4B8-79ED216C9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17</xdr:col>
      <xdr:colOff>569894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17</xdr:col>
      <xdr:colOff>569894</xdr:colOff>
      <xdr:row>24</xdr:row>
      <xdr:rowOff>177711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3DBA-ABFC-466C-89BD-E35BE8C35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18</xdr:col>
      <xdr:colOff>139623</xdr:colOff>
      <xdr:row>13</xdr:row>
      <xdr:rowOff>93592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37C11-1D5B-40C3-BB15-12FABAB95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139623</xdr:colOff>
      <xdr:row>6</xdr:row>
      <xdr:rowOff>93594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5CB1B-0A6A-4FED-986A-AAF60AA87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139623</xdr:colOff>
      <xdr:row>19</xdr:row>
      <xdr:rowOff>413632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BC5654-7FEA-4190-8E0F-2FB397F25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r2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f0_exc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slope_r2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mean_f0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mean_f0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0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r2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0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r2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slope_b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1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1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f0_exc_b1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mean_f0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r2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1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1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slope_b1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0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0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no_phonology_b0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1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r2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1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r2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r2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no_phonology_b1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no_phonology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0.92799109672532598</v>
          </cell>
        </row>
        <row r="3">
          <cell r="B3">
            <v>3.8351665334162899E-2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0.40600000000000003</v>
          </cell>
          <cell r="D2">
            <v>-2.8919059791888E-2</v>
          </cell>
          <cell r="E2">
            <v>0.84155505854439805</v>
          </cell>
          <cell r="F2">
            <v>0.222</v>
          </cell>
          <cell r="G2">
            <v>1.833</v>
          </cell>
          <cell r="H2">
            <v>615.98</v>
          </cell>
          <cell r="I2">
            <v>6.7000000000000004E-2</v>
          </cell>
          <cell r="J2">
            <v>9.7000000000000003E-2</v>
          </cell>
        </row>
        <row r="3">
          <cell r="C3">
            <v>1.7190000000000001</v>
          </cell>
          <cell r="D3">
            <v>1.2820173565612201</v>
          </cell>
          <cell r="E3">
            <v>2.1559517370543801</v>
          </cell>
          <cell r="F3">
            <v>0.223</v>
          </cell>
          <cell r="G3">
            <v>7.7249999999999996</v>
          </cell>
          <cell r="H3">
            <v>616.12</v>
          </cell>
          <cell r="I3">
            <v>4.4999999999999998E-14</v>
          </cell>
          <cell r="J3">
            <v>2.8999999999999998E-13</v>
          </cell>
          <cell r="K3" t="str">
            <v>p&lt;0.0001</v>
          </cell>
        </row>
        <row r="4">
          <cell r="C4">
            <v>4.5129999999999999</v>
          </cell>
          <cell r="D4">
            <v>4.0445700089698402</v>
          </cell>
          <cell r="E4">
            <v>4.9805125669845403</v>
          </cell>
          <cell r="F4">
            <v>0.23799999999999999</v>
          </cell>
          <cell r="G4">
            <v>18.937000000000001</v>
          </cell>
          <cell r="H4">
            <v>617.96</v>
          </cell>
          <cell r="I4">
            <v>2.0999999999999999E-63</v>
          </cell>
          <cell r="J4">
            <v>2.6999999999999999E-61</v>
          </cell>
          <cell r="K4" t="str">
            <v>p&lt;0.0001</v>
          </cell>
        </row>
        <row r="5">
          <cell r="C5">
            <v>1.3129999999999999</v>
          </cell>
          <cell r="D5">
            <v>0.87631793303014605</v>
          </cell>
          <cell r="E5">
            <v>1.74901516185067</v>
          </cell>
          <cell r="F5">
            <v>0.222</v>
          </cell>
          <cell r="G5">
            <v>5.9080000000000004</v>
          </cell>
          <cell r="H5">
            <v>616.16999999999996</v>
          </cell>
          <cell r="I5">
            <v>5.6999999999999998E-9</v>
          </cell>
          <cell r="J5">
            <v>2.0999999999999999E-8</v>
          </cell>
          <cell r="K5" t="str">
            <v>p&lt;0.0001</v>
          </cell>
        </row>
        <row r="6">
          <cell r="C6">
            <v>4.1059999999999999</v>
          </cell>
          <cell r="D6">
            <v>3.6374300581047301</v>
          </cell>
          <cell r="E6">
            <v>4.5750165191850796</v>
          </cell>
          <cell r="F6">
            <v>0.23899999999999999</v>
          </cell>
          <cell r="G6">
            <v>17.201000000000001</v>
          </cell>
          <cell r="H6">
            <v>618.02</v>
          </cell>
          <cell r="I6">
            <v>1.7999999999999999E-54</v>
          </cell>
          <cell r="J6">
            <v>1.1E-52</v>
          </cell>
          <cell r="K6" t="str">
            <v>p&lt;0.0001</v>
          </cell>
        </row>
        <row r="7">
          <cell r="C7">
            <v>2.794</v>
          </cell>
          <cell r="D7">
            <v>2.3362844730857</v>
          </cell>
          <cell r="E7">
            <v>3.25082900924733</v>
          </cell>
          <cell r="F7">
            <v>0.23300000000000001</v>
          </cell>
          <cell r="G7">
            <v>11.997</v>
          </cell>
          <cell r="H7">
            <v>617.52</v>
          </cell>
          <cell r="I7">
            <v>5.8999999999999998E-30</v>
          </cell>
          <cell r="J7">
            <v>1.2000000000000001E-28</v>
          </cell>
          <cell r="K7" t="str">
            <v>p&lt;0.0001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0.40400000000000003</v>
          </cell>
          <cell r="D2">
            <v>-3.53378949890865</v>
          </cell>
          <cell r="E2">
            <v>4.3412529801935902</v>
          </cell>
          <cell r="F2">
            <v>2.0049999999999999</v>
          </cell>
          <cell r="G2">
            <v>0.20100000000000001</v>
          </cell>
          <cell r="H2">
            <v>610.88</v>
          </cell>
          <cell r="I2">
            <v>0.84</v>
          </cell>
          <cell r="J2">
            <v>0.90600000000000003</v>
          </cell>
        </row>
        <row r="3">
          <cell r="C3">
            <v>-2.2949999999999999</v>
          </cell>
          <cell r="D3">
            <v>-6.2598052359264003</v>
          </cell>
          <cell r="E3">
            <v>1.66925440242729</v>
          </cell>
          <cell r="F3">
            <v>2.0190000000000001</v>
          </cell>
          <cell r="G3">
            <v>-1.137</v>
          </cell>
          <cell r="H3">
            <v>611.71</v>
          </cell>
          <cell r="I3">
            <v>0.25600000000000001</v>
          </cell>
          <cell r="J3">
            <v>0.32200000000000001</v>
          </cell>
        </row>
        <row r="4">
          <cell r="C4">
            <v>-21.047999999999998</v>
          </cell>
          <cell r="D4">
            <v>-25.261320323500598</v>
          </cell>
          <cell r="E4">
            <v>-16.835440861919501</v>
          </cell>
          <cell r="F4">
            <v>2.145</v>
          </cell>
          <cell r="G4">
            <v>-9.8119999999999994</v>
          </cell>
          <cell r="H4">
            <v>597.23</v>
          </cell>
          <cell r="I4">
            <v>3.5999999999999999E-21</v>
          </cell>
          <cell r="J4">
            <v>3.7999999999999998E-20</v>
          </cell>
          <cell r="K4" t="str">
            <v>p&lt;0.0001</v>
          </cell>
        </row>
        <row r="5">
          <cell r="C5">
            <v>-2.6989999999999998</v>
          </cell>
          <cell r="D5">
            <v>-6.6517684461969697</v>
          </cell>
          <cell r="E5">
            <v>1.25375413125451</v>
          </cell>
          <cell r="F5">
            <v>2.0129999999999999</v>
          </cell>
          <cell r="G5">
            <v>-1.341</v>
          </cell>
          <cell r="H5">
            <v>611.91</v>
          </cell>
          <cell r="I5">
            <v>0.18</v>
          </cell>
          <cell r="J5">
            <v>0.23300000000000001</v>
          </cell>
        </row>
        <row r="6">
          <cell r="C6">
            <v>-21.452000000000002</v>
          </cell>
          <cell r="D6">
            <v>-25.665332374712499</v>
          </cell>
          <cell r="E6">
            <v>-17.238892292556901</v>
          </cell>
          <cell r="F6">
            <v>2.145</v>
          </cell>
          <cell r="G6">
            <v>-10</v>
          </cell>
          <cell r="H6">
            <v>595.95000000000005</v>
          </cell>
          <cell r="I6">
            <v>7.1999999999999996E-22</v>
          </cell>
          <cell r="J6">
            <v>8.3000000000000002E-21</v>
          </cell>
          <cell r="K6" t="str">
            <v>p&lt;0.0001</v>
          </cell>
        </row>
        <row r="7">
          <cell r="C7">
            <v>-18.753</v>
          </cell>
          <cell r="D7">
            <v>-22.880955572601501</v>
          </cell>
          <cell r="E7">
            <v>-14.6252548065235</v>
          </cell>
          <cell r="F7">
            <v>2.1019999999999999</v>
          </cell>
          <cell r="G7">
            <v>-8.9220000000000006</v>
          </cell>
          <cell r="H7">
            <v>609.03</v>
          </cell>
          <cell r="I7">
            <v>5.3000000000000003E-18</v>
          </cell>
          <cell r="J7">
            <v>4.4999999999999998E-17</v>
          </cell>
          <cell r="K7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-0.373</v>
          </cell>
          <cell r="D2">
            <v>-6.1763930344414302</v>
          </cell>
          <cell r="E2">
            <v>5.4313420393882499</v>
          </cell>
          <cell r="F2">
            <v>2.9550000000000001</v>
          </cell>
          <cell r="G2">
            <v>-0.126</v>
          </cell>
          <cell r="H2">
            <v>613.04</v>
          </cell>
          <cell r="I2">
            <v>0.9</v>
          </cell>
          <cell r="J2">
            <v>0.93100000000000005</v>
          </cell>
        </row>
        <row r="3">
          <cell r="C3">
            <v>-2.4780000000000002</v>
          </cell>
          <cell r="D3">
            <v>-8.3141427567449906</v>
          </cell>
          <cell r="E3">
            <v>3.35911257504572</v>
          </cell>
          <cell r="F3">
            <v>2.972</v>
          </cell>
          <cell r="G3">
            <v>-0.83399999999999996</v>
          </cell>
          <cell r="H3">
            <v>613.15</v>
          </cell>
          <cell r="I3">
            <v>0.40500000000000003</v>
          </cell>
          <cell r="J3">
            <v>0.49</v>
          </cell>
        </row>
        <row r="4">
          <cell r="C4">
            <v>-16.834</v>
          </cell>
          <cell r="D4">
            <v>-23.078068753224699</v>
          </cell>
          <cell r="E4">
            <v>-10.5904726214682</v>
          </cell>
          <cell r="F4">
            <v>3.1789999999999998</v>
          </cell>
          <cell r="G4">
            <v>-5.2949999999999999</v>
          </cell>
          <cell r="H4">
            <v>614.88</v>
          </cell>
          <cell r="I4">
            <v>1.6999999999999999E-7</v>
          </cell>
          <cell r="J4">
            <v>5.9999999999999997E-7</v>
          </cell>
          <cell r="K4" t="str">
            <v>p&lt;0.0001</v>
          </cell>
        </row>
        <row r="5">
          <cell r="C5">
            <v>-2.105</v>
          </cell>
          <cell r="D5">
            <v>-7.9337797320526899</v>
          </cell>
          <cell r="E5">
            <v>3.7238005439951198</v>
          </cell>
          <cell r="F5">
            <v>2.968</v>
          </cell>
          <cell r="G5">
            <v>-0.70899999999999996</v>
          </cell>
          <cell r="H5">
            <v>613.21</v>
          </cell>
          <cell r="I5">
            <v>0.47799999999999998</v>
          </cell>
          <cell r="J5">
            <v>0.56200000000000006</v>
          </cell>
        </row>
        <row r="6">
          <cell r="C6">
            <v>-16.462</v>
          </cell>
          <cell r="D6">
            <v>-22.716913416964701</v>
          </cell>
          <cell r="E6">
            <v>-10.206576965677501</v>
          </cell>
          <cell r="F6">
            <v>3.1850000000000001</v>
          </cell>
          <cell r="G6">
            <v>-5.1680000000000001</v>
          </cell>
          <cell r="H6">
            <v>615</v>
          </cell>
          <cell r="I6">
            <v>3.2000000000000001E-7</v>
          </cell>
          <cell r="J6">
            <v>1.1000000000000001E-6</v>
          </cell>
          <cell r="K6" t="str">
            <v>p&lt;0.0001</v>
          </cell>
        </row>
        <row r="7">
          <cell r="C7">
            <v>-14.356999999999999</v>
          </cell>
          <cell r="D7">
            <v>-20.468165663037698</v>
          </cell>
          <cell r="E7">
            <v>-8.2453455316897895</v>
          </cell>
          <cell r="F7">
            <v>3.1120000000000001</v>
          </cell>
          <cell r="G7">
            <v>-4.6130000000000004</v>
          </cell>
          <cell r="H7">
            <v>614.38</v>
          </cell>
          <cell r="I7">
            <v>4.7999999999999998E-6</v>
          </cell>
          <cell r="J7">
            <v>1.4E-5</v>
          </cell>
          <cell r="K7" t="str">
            <v>p&lt;0.0001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E1" t="str">
            <v>std.error</v>
          </cell>
          <cell r="I1" t="str">
            <v>p.adj (BH)</v>
          </cell>
        </row>
        <row r="2">
          <cell r="B2">
            <v>83.99</v>
          </cell>
          <cell r="C2">
            <v>80.453351074980304</v>
          </cell>
          <cell r="D2">
            <v>87.527230630068203</v>
          </cell>
          <cell r="E2">
            <v>1.623</v>
          </cell>
          <cell r="F2">
            <v>51.753</v>
          </cell>
          <cell r="G2">
            <v>11.97</v>
          </cell>
          <cell r="H2">
            <v>1.9000000000000001E-15</v>
          </cell>
          <cell r="I2">
            <v>7.6000000000000004E-15</v>
          </cell>
          <cell r="J2" t="str">
            <v>p&lt;0.0001</v>
          </cell>
        </row>
        <row r="3">
          <cell r="B3">
            <v>84.075999999999993</v>
          </cell>
          <cell r="C3">
            <v>80.539039447165607</v>
          </cell>
          <cell r="D3">
            <v>87.613137543283798</v>
          </cell>
          <cell r="E3">
            <v>1.623</v>
          </cell>
          <cell r="F3">
            <v>51.802999999999997</v>
          </cell>
          <cell r="G3">
            <v>11.97</v>
          </cell>
          <cell r="H3">
            <v>1.9000000000000001E-15</v>
          </cell>
          <cell r="I3">
            <v>7.6000000000000004E-15</v>
          </cell>
          <cell r="J3" t="str">
            <v>p&lt;0.0001</v>
          </cell>
        </row>
        <row r="4">
          <cell r="B4">
            <v>85.177999999999997</v>
          </cell>
          <cell r="C4">
            <v>81.639854239581595</v>
          </cell>
          <cell r="D4">
            <v>88.716349917043104</v>
          </cell>
          <cell r="E4">
            <v>1.6240000000000001</v>
          </cell>
          <cell r="F4">
            <v>52.45</v>
          </cell>
          <cell r="G4">
            <v>12</v>
          </cell>
          <cell r="H4">
            <v>1.4999999999999999E-15</v>
          </cell>
          <cell r="I4">
            <v>7.0000000000000001E-15</v>
          </cell>
          <cell r="J4" t="str">
            <v>p&lt;0.0001</v>
          </cell>
        </row>
        <row r="5">
          <cell r="B5">
            <v>85.031999999999996</v>
          </cell>
          <cell r="C5">
            <v>81.489369407447299</v>
          </cell>
          <cell r="D5">
            <v>88.574801692886098</v>
          </cell>
          <cell r="E5">
            <v>1.6279999999999999</v>
          </cell>
          <cell r="F5">
            <v>52.24</v>
          </cell>
          <cell r="G5">
            <v>12.12</v>
          </cell>
          <cell r="H5">
            <v>1.2E-15</v>
          </cell>
          <cell r="I5">
            <v>7.0000000000000001E-15</v>
          </cell>
          <cell r="J5" t="str">
            <v>p&lt;0.0001</v>
          </cell>
        </row>
        <row r="6">
          <cell r="B6">
            <v>83.99</v>
          </cell>
          <cell r="C6">
            <v>80.453351074980304</v>
          </cell>
          <cell r="D6">
            <v>87.527230630068203</v>
          </cell>
          <cell r="E6">
            <v>1.623</v>
          </cell>
          <cell r="F6">
            <v>51.753</v>
          </cell>
          <cell r="G6">
            <v>11.97</v>
          </cell>
          <cell r="H6">
            <v>1.9000000000000001E-15</v>
          </cell>
          <cell r="I6">
            <v>7.6000000000000004E-15</v>
          </cell>
          <cell r="J6" t="str">
            <v>p&lt;0.0001</v>
          </cell>
        </row>
        <row r="7">
          <cell r="B7">
            <v>86.87</v>
          </cell>
          <cell r="C7">
            <v>83.113022861423701</v>
          </cell>
          <cell r="D7">
            <v>90.627605751172297</v>
          </cell>
          <cell r="E7">
            <v>1.7849999999999999</v>
          </cell>
          <cell r="F7">
            <v>48.677999999999997</v>
          </cell>
          <cell r="G7">
            <v>17.48</v>
          </cell>
          <cell r="H7">
            <v>4.1000000000000001E-20</v>
          </cell>
          <cell r="I7">
            <v>1.7E-18</v>
          </cell>
          <cell r="J7" t="str">
            <v>p&lt;0.0001</v>
          </cell>
        </row>
        <row r="8">
          <cell r="B8">
            <v>84.706999999999994</v>
          </cell>
          <cell r="C8">
            <v>81.133638575482294</v>
          </cell>
          <cell r="D8">
            <v>88.279591427499099</v>
          </cell>
          <cell r="E8">
            <v>1.6519999999999999</v>
          </cell>
          <cell r="F8">
            <v>51.277000000000001</v>
          </cell>
          <cell r="G8">
            <v>12.85</v>
          </cell>
          <cell r="H8">
            <v>2.9999999999999999E-16</v>
          </cell>
          <cell r="I8">
            <v>3.6000000000000001E-15</v>
          </cell>
          <cell r="J8" t="str">
            <v>p&lt;0.0001</v>
          </cell>
        </row>
        <row r="9">
          <cell r="B9">
            <v>86.724000000000004</v>
          </cell>
          <cell r="C9">
            <v>83.164863235291506</v>
          </cell>
          <cell r="D9">
            <v>90.282187472808502</v>
          </cell>
          <cell r="E9">
            <v>1.641</v>
          </cell>
          <cell r="F9">
            <v>52.862000000000002</v>
          </cell>
          <cell r="G9">
            <v>12.5</v>
          </cell>
          <cell r="H9">
            <v>4.5000000000000002E-16</v>
          </cell>
          <cell r="I9">
            <v>4.1999999999999996E-15</v>
          </cell>
          <cell r="J9" t="str">
            <v>p&lt;0.0001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0.95092595995270601</v>
          </cell>
        </row>
        <row r="3">
          <cell r="B3">
            <v>5.6672945964226902E-2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B2">
            <v>90.16</v>
          </cell>
          <cell r="C2">
            <v>86.123043762318801</v>
          </cell>
          <cell r="D2">
            <v>94.197953690226399</v>
          </cell>
          <cell r="E2">
            <v>1.8029999999999999</v>
          </cell>
          <cell r="F2">
            <v>50.005000000000003</v>
          </cell>
          <cell r="G2">
            <v>9.65</v>
          </cell>
          <cell r="H2">
            <v>5.6000000000000004E-13</v>
          </cell>
          <cell r="I2">
            <v>1.4000000000000001E-12</v>
          </cell>
          <cell r="J2" t="str">
            <v>p&lt;0.0001</v>
          </cell>
        </row>
        <row r="3">
          <cell r="B3">
            <v>90.578000000000003</v>
          </cell>
          <cell r="C3">
            <v>86.540423250920597</v>
          </cell>
          <cell r="D3">
            <v>94.615525934098201</v>
          </cell>
          <cell r="E3">
            <v>1.8029999999999999</v>
          </cell>
          <cell r="F3">
            <v>50.234000000000002</v>
          </cell>
          <cell r="G3">
            <v>9.65</v>
          </cell>
          <cell r="H3">
            <v>5.4000000000000002E-13</v>
          </cell>
          <cell r="I3">
            <v>1.4000000000000001E-12</v>
          </cell>
          <cell r="J3" t="str">
            <v>p&lt;0.0001</v>
          </cell>
        </row>
        <row r="4">
          <cell r="B4">
            <v>91.29</v>
          </cell>
          <cell r="C4">
            <v>87.250257609612504</v>
          </cell>
          <cell r="D4">
            <v>95.329182144316803</v>
          </cell>
          <cell r="E4">
            <v>1.8049999999999999</v>
          </cell>
          <cell r="F4">
            <v>50.573999999999998</v>
          </cell>
          <cell r="G4">
            <v>9.69</v>
          </cell>
          <cell r="H4">
            <v>4.5999999999999996E-13</v>
          </cell>
          <cell r="I4">
            <v>1.2999999999999999E-12</v>
          </cell>
          <cell r="J4" t="str">
            <v>p&lt;0.0001</v>
          </cell>
        </row>
        <row r="5">
          <cell r="B5">
            <v>92.46</v>
          </cell>
          <cell r="C5">
            <v>88.416665374418102</v>
          </cell>
          <cell r="D5">
            <v>96.504310766312699</v>
          </cell>
          <cell r="E5">
            <v>1.81</v>
          </cell>
          <cell r="F5">
            <v>51.093000000000004</v>
          </cell>
          <cell r="G5">
            <v>9.7899999999999991</v>
          </cell>
          <cell r="H5">
            <v>3.3000000000000001E-13</v>
          </cell>
          <cell r="I5">
            <v>9.5999999999999995E-13</v>
          </cell>
          <cell r="J5" t="str">
            <v>p&lt;0.0001</v>
          </cell>
        </row>
        <row r="6">
          <cell r="B6">
            <v>90.16</v>
          </cell>
          <cell r="C6">
            <v>86.123043762318801</v>
          </cell>
          <cell r="D6">
            <v>94.197953690226399</v>
          </cell>
          <cell r="E6">
            <v>1.8029999999999999</v>
          </cell>
          <cell r="F6">
            <v>50.005000000000003</v>
          </cell>
          <cell r="G6">
            <v>9.65</v>
          </cell>
          <cell r="H6">
            <v>5.6000000000000004E-13</v>
          </cell>
          <cell r="I6">
            <v>1.4000000000000001E-12</v>
          </cell>
          <cell r="J6" t="str">
            <v>p&lt;0.0001</v>
          </cell>
        </row>
        <row r="7">
          <cell r="B7">
            <v>89.887</v>
          </cell>
          <cell r="C7">
            <v>85.459720294364303</v>
          </cell>
          <cell r="D7">
            <v>94.315126046853607</v>
          </cell>
          <cell r="E7">
            <v>2.1070000000000002</v>
          </cell>
          <cell r="F7">
            <v>42.664000000000001</v>
          </cell>
          <cell r="G7">
            <v>17.920000000000002</v>
          </cell>
          <cell r="H7">
            <v>1.8000000000000001E-19</v>
          </cell>
          <cell r="I7">
            <v>5.0000000000000004E-18</v>
          </cell>
          <cell r="J7" t="str">
            <v>p&lt;0.0001</v>
          </cell>
        </row>
        <row r="8">
          <cell r="B8">
            <v>93.736999999999995</v>
          </cell>
          <cell r="C8">
            <v>89.644799114240996</v>
          </cell>
          <cell r="D8">
            <v>97.829742285346597</v>
          </cell>
          <cell r="E8">
            <v>1.8560000000000001</v>
          </cell>
          <cell r="F8">
            <v>50.515000000000001</v>
          </cell>
          <cell r="G8">
            <v>10.82</v>
          </cell>
          <cell r="H8">
            <v>3.4E-14</v>
          </cell>
          <cell r="I8">
            <v>1.1E-13</v>
          </cell>
          <cell r="J8" t="str">
            <v>p&lt;0.0001</v>
          </cell>
        </row>
        <row r="9">
          <cell r="B9">
            <v>93.728999999999999</v>
          </cell>
          <cell r="C9">
            <v>89.656987791724603</v>
          </cell>
          <cell r="D9">
            <v>97.800438498133602</v>
          </cell>
          <cell r="E9">
            <v>1.8360000000000001</v>
          </cell>
          <cell r="F9">
            <v>51.037999999999997</v>
          </cell>
          <cell r="G9">
            <v>10.38</v>
          </cell>
          <cell r="H9">
            <v>8.3999999999999995E-14</v>
          </cell>
          <cell r="I9">
            <v>2.4999999999999999E-13</v>
          </cell>
          <cell r="J9" t="str">
            <v>p&lt;0.0001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0.90843440204111703</v>
          </cell>
        </row>
        <row r="3">
          <cell r="B3">
            <v>0.11904129817262001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B2">
            <v>5.9409999999999998</v>
          </cell>
          <cell r="C2">
            <v>4.9701290775966802</v>
          </cell>
          <cell r="D2">
            <v>6.9117110854203503</v>
          </cell>
          <cell r="E2">
            <v>0.434</v>
          </cell>
          <cell r="F2">
            <v>13.682</v>
          </cell>
          <cell r="G2">
            <v>9.75</v>
          </cell>
          <cell r="H2">
            <v>1.1000000000000001E-7</v>
          </cell>
          <cell r="I2">
            <v>2.1E-7</v>
          </cell>
          <cell r="J2" t="str">
            <v>p&lt;0.0001</v>
          </cell>
        </row>
        <row r="3">
          <cell r="B3">
            <v>6.1369999999999996</v>
          </cell>
          <cell r="C3">
            <v>5.1662705164212399</v>
          </cell>
          <cell r="D3">
            <v>7.1086712077594196</v>
          </cell>
          <cell r="E3">
            <v>0.435</v>
          </cell>
          <cell r="F3">
            <v>14.124000000000001</v>
          </cell>
          <cell r="G3">
            <v>9.7799999999999994</v>
          </cell>
          <cell r="H3">
            <v>7.9000000000000006E-8</v>
          </cell>
          <cell r="I3">
            <v>1.6999999999999999E-7</v>
          </cell>
          <cell r="J3" t="str">
            <v>p&lt;0.0001</v>
          </cell>
        </row>
        <row r="4">
          <cell r="B4">
            <v>5.84</v>
          </cell>
          <cell r="C4">
            <v>4.8643674037874698</v>
          </cell>
          <cell r="D4">
            <v>6.8152749279039302</v>
          </cell>
          <cell r="E4">
            <v>0.439</v>
          </cell>
          <cell r="F4">
            <v>13.304</v>
          </cell>
          <cell r="G4">
            <v>10.199999999999999</v>
          </cell>
          <cell r="H4">
            <v>8.9999999999999999E-8</v>
          </cell>
          <cell r="I4">
            <v>1.8E-7</v>
          </cell>
          <cell r="J4" t="str">
            <v>p&lt;0.0001</v>
          </cell>
        </row>
        <row r="5">
          <cell r="B5">
            <v>6.8959999999999999</v>
          </cell>
          <cell r="C5">
            <v>5.9103578334988898</v>
          </cell>
          <cell r="D5">
            <v>7.8811496303687498</v>
          </cell>
          <cell r="E5">
            <v>0.45100000000000001</v>
          </cell>
          <cell r="F5">
            <v>15.303000000000001</v>
          </cell>
          <cell r="G5">
            <v>11.62</v>
          </cell>
          <cell r="H5">
            <v>4.6999999999999999E-9</v>
          </cell>
          <cell r="I5">
            <v>1E-8</v>
          </cell>
          <cell r="J5" t="str">
            <v>p&lt;0.0001</v>
          </cell>
        </row>
        <row r="6">
          <cell r="B6">
            <v>5.9409999999999998</v>
          </cell>
          <cell r="C6">
            <v>4.9701290775966802</v>
          </cell>
          <cell r="D6">
            <v>6.9117110854203503</v>
          </cell>
          <cell r="E6">
            <v>0.434</v>
          </cell>
          <cell r="F6">
            <v>13.682</v>
          </cell>
          <cell r="G6">
            <v>9.75</v>
          </cell>
          <cell r="H6">
            <v>1.1000000000000001E-7</v>
          </cell>
          <cell r="I6">
            <v>2.1E-7</v>
          </cell>
          <cell r="J6" t="str">
            <v>p&lt;0.0001</v>
          </cell>
        </row>
        <row r="7">
          <cell r="B7">
            <v>3.109</v>
          </cell>
          <cell r="C7">
            <v>1.2990504532998901</v>
          </cell>
          <cell r="D7">
            <v>4.9197334909255002</v>
          </cell>
          <cell r="E7">
            <v>0.91600000000000004</v>
          </cell>
          <cell r="F7">
            <v>3.3940000000000001</v>
          </cell>
          <cell r="G7">
            <v>148.41999999999999</v>
          </cell>
          <cell r="H7">
            <v>8.8000000000000003E-4</v>
          </cell>
          <cell r="I7">
            <v>1E-3</v>
          </cell>
          <cell r="J7" t="str">
            <v>p&lt;0.01</v>
          </cell>
        </row>
        <row r="8">
          <cell r="B8">
            <v>9.5719999999999992</v>
          </cell>
          <cell r="C8">
            <v>8.4512821469364905</v>
          </cell>
          <cell r="D8">
            <v>10.6929057207031</v>
          </cell>
          <cell r="E8">
            <v>0.54200000000000004</v>
          </cell>
          <cell r="F8">
            <v>17.646000000000001</v>
          </cell>
          <cell r="G8">
            <v>23.5</v>
          </cell>
          <cell r="H8">
            <v>4.6999999999999999E-15</v>
          </cell>
          <cell r="I8">
            <v>1.7999999999999999E-14</v>
          </cell>
          <cell r="J8" t="str">
            <v>p&lt;0.0001</v>
          </cell>
        </row>
        <row r="9">
          <cell r="B9">
            <v>7.1260000000000003</v>
          </cell>
          <cell r="C9">
            <v>6.06316911845225</v>
          </cell>
          <cell r="D9">
            <v>8.1884453102606294</v>
          </cell>
          <cell r="E9">
            <v>0.505</v>
          </cell>
          <cell r="F9">
            <v>14.122999999999999</v>
          </cell>
          <cell r="G9">
            <v>17.399999999999999</v>
          </cell>
          <cell r="H9">
            <v>5.8E-11</v>
          </cell>
          <cell r="I9">
            <v>1.2999999999999999E-10</v>
          </cell>
          <cell r="J9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0.70030882518417004</v>
          </cell>
        </row>
        <row r="3">
          <cell r="B3">
            <v>0.15391938089183299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0"/>
    </sheetNames>
    <sheetDataSet>
      <sheetData sheetId="0">
        <row r="2">
          <cell r="B2">
            <v>86.733999999999995</v>
          </cell>
          <cell r="C2">
            <v>83.197141294763696</v>
          </cell>
          <cell r="D2">
            <v>90.271041269368197</v>
          </cell>
          <cell r="E2">
            <v>1.6220000000000001</v>
          </cell>
          <cell r="F2">
            <v>53.463999999999999</v>
          </cell>
          <cell r="G2">
            <v>11.93</v>
          </cell>
          <cell r="H2">
            <v>1.4000000000000001E-15</v>
          </cell>
          <cell r="I2">
            <v>7.0000000000000001E-15</v>
          </cell>
          <cell r="J2" t="str">
            <v>p&lt;0.0001</v>
          </cell>
        </row>
        <row r="3">
          <cell r="B3">
            <v>87.033000000000001</v>
          </cell>
          <cell r="C3">
            <v>83.495692635779406</v>
          </cell>
          <cell r="D3">
            <v>90.569758221227403</v>
          </cell>
          <cell r="E3">
            <v>1.6220000000000001</v>
          </cell>
          <cell r="F3">
            <v>53.645000000000003</v>
          </cell>
          <cell r="G3">
            <v>11.93</v>
          </cell>
          <cell r="H3">
            <v>1.3E-15</v>
          </cell>
          <cell r="I3">
            <v>7.0000000000000001E-15</v>
          </cell>
          <cell r="J3" t="str">
            <v>p&lt;0.0001</v>
          </cell>
        </row>
        <row r="4">
          <cell r="B4">
            <v>88.046000000000006</v>
          </cell>
          <cell r="C4">
            <v>84.507017589691699</v>
          </cell>
          <cell r="D4">
            <v>91.584112462550905</v>
          </cell>
          <cell r="E4">
            <v>1.6240000000000001</v>
          </cell>
          <cell r="F4">
            <v>54.228000000000002</v>
          </cell>
          <cell r="G4">
            <v>11.97</v>
          </cell>
          <cell r="H4">
            <v>1.0999999999999999E-15</v>
          </cell>
          <cell r="I4">
            <v>7.0000000000000001E-15</v>
          </cell>
          <cell r="J4" t="str">
            <v>p&lt;0.0001</v>
          </cell>
        </row>
        <row r="5">
          <cell r="B5">
            <v>88.299000000000007</v>
          </cell>
          <cell r="C5">
            <v>84.755079616203005</v>
          </cell>
          <cell r="D5">
            <v>91.842473483418502</v>
          </cell>
          <cell r="E5">
            <v>1.6279999999999999</v>
          </cell>
          <cell r="F5">
            <v>54.24</v>
          </cell>
          <cell r="G5">
            <v>12.1</v>
          </cell>
          <cell r="H5">
            <v>8.1000000000000005E-16</v>
          </cell>
          <cell r="I5">
            <v>6.1999999999999998E-15</v>
          </cell>
          <cell r="J5" t="str">
            <v>p&lt;0.0001</v>
          </cell>
        </row>
        <row r="6">
          <cell r="B6">
            <v>86.733999999999995</v>
          </cell>
          <cell r="C6">
            <v>83.197141294763696</v>
          </cell>
          <cell r="D6">
            <v>90.271041269368197</v>
          </cell>
          <cell r="E6">
            <v>1.6220000000000001</v>
          </cell>
          <cell r="F6">
            <v>53.463999999999999</v>
          </cell>
          <cell r="G6">
            <v>11.93</v>
          </cell>
          <cell r="H6">
            <v>1.4000000000000001E-15</v>
          </cell>
          <cell r="I6">
            <v>7.0000000000000001E-15</v>
          </cell>
          <cell r="J6" t="str">
            <v>p&lt;0.0001</v>
          </cell>
        </row>
        <row r="7">
          <cell r="B7">
            <v>87.731999999999999</v>
          </cell>
          <cell r="C7">
            <v>83.923166832717001</v>
          </cell>
          <cell r="D7">
            <v>91.541362826281002</v>
          </cell>
          <cell r="E7">
            <v>1.819</v>
          </cell>
          <cell r="F7">
            <v>48.241</v>
          </cell>
          <cell r="G7">
            <v>18.8</v>
          </cell>
          <cell r="H7">
            <v>3.5999999999999999E-21</v>
          </cell>
          <cell r="I7">
            <v>2.9999999999999999E-19</v>
          </cell>
          <cell r="J7" t="str">
            <v>p&lt;0.0001</v>
          </cell>
        </row>
        <row r="8">
          <cell r="B8">
            <v>88.947000000000003</v>
          </cell>
          <cell r="C8">
            <v>85.365027404622893</v>
          </cell>
          <cell r="D8">
            <v>92.528569885213599</v>
          </cell>
          <cell r="E8">
            <v>1.6579999999999999</v>
          </cell>
          <cell r="F8">
            <v>53.637999999999998</v>
          </cell>
          <cell r="G8">
            <v>13.03</v>
          </cell>
          <cell r="H8">
            <v>1.1E-16</v>
          </cell>
          <cell r="I8">
            <v>2.2999999999999999E-15</v>
          </cell>
          <cell r="J8" t="str">
            <v>p&lt;0.0001</v>
          </cell>
        </row>
        <row r="9">
          <cell r="B9">
            <v>89.912999999999997</v>
          </cell>
          <cell r="C9">
            <v>86.349782420079507</v>
          </cell>
          <cell r="D9">
            <v>93.476172760586294</v>
          </cell>
          <cell r="E9">
            <v>1.6439999999999999</v>
          </cell>
          <cell r="F9">
            <v>54.704999999999998</v>
          </cell>
          <cell r="G9">
            <v>12.57</v>
          </cell>
          <cell r="H9">
            <v>2.5000000000000002E-16</v>
          </cell>
          <cell r="I9">
            <v>3.5000000000000001E-15</v>
          </cell>
          <cell r="J9" t="str">
            <v>p&lt;0.0001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0.87755115375023396</v>
          </cell>
        </row>
        <row r="3">
          <cell r="B3">
            <v>9.5347789908128699E-2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r2"/>
    </sheetNames>
    <sheetDataSet>
      <sheetData sheetId="0">
        <row r="2">
          <cell r="B2">
            <v>0.93932332827405896</v>
          </cell>
        </row>
        <row r="3">
          <cell r="B3">
            <v>8.4810456128037004E-2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B2">
            <v>67.408000000000001</v>
          </cell>
          <cell r="C2">
            <v>45.906075043170702</v>
          </cell>
          <cell r="D2">
            <v>88.909427524989596</v>
          </cell>
          <cell r="E2">
            <v>9.8879999999999999</v>
          </cell>
          <cell r="F2">
            <v>6.8170000000000002</v>
          </cell>
          <cell r="G2">
            <v>12.22</v>
          </cell>
          <cell r="H2">
            <v>1.7E-5</v>
          </cell>
          <cell r="I2">
            <v>2.9E-5</v>
          </cell>
          <cell r="J2" t="str">
            <v>p&lt;0.0001</v>
          </cell>
        </row>
        <row r="3">
          <cell r="B3">
            <v>67.731999999999999</v>
          </cell>
          <cell r="C3">
            <v>46.229535903865603</v>
          </cell>
          <cell r="D3">
            <v>89.235346654396906</v>
          </cell>
          <cell r="E3">
            <v>9.8889999999999993</v>
          </cell>
          <cell r="F3">
            <v>6.8490000000000002</v>
          </cell>
          <cell r="G3">
            <v>12.22</v>
          </cell>
          <cell r="H3">
            <v>1.5999999999999999E-5</v>
          </cell>
          <cell r="I3">
            <v>2.9E-5</v>
          </cell>
          <cell r="J3" t="str">
            <v>p&lt;0.0001</v>
          </cell>
        </row>
        <row r="4">
          <cell r="B4">
            <v>69.475999999999999</v>
          </cell>
          <cell r="C4">
            <v>47.925440531509501</v>
          </cell>
          <cell r="D4">
            <v>91.026647140951795</v>
          </cell>
          <cell r="E4">
            <v>9.9280000000000008</v>
          </cell>
          <cell r="F4">
            <v>6.9980000000000002</v>
          </cell>
          <cell r="G4">
            <v>12.42</v>
          </cell>
          <cell r="H4">
            <v>1.2E-5</v>
          </cell>
          <cell r="I4">
            <v>2.1999999999999999E-5</v>
          </cell>
          <cell r="J4" t="str">
            <v>p&lt;0.0001</v>
          </cell>
        </row>
        <row r="5">
          <cell r="B5">
            <v>47.040999999999997</v>
          </cell>
          <cell r="C5">
            <v>25.381162659949101</v>
          </cell>
          <cell r="D5">
            <v>68.701789806570204</v>
          </cell>
          <cell r="E5">
            <v>10.022</v>
          </cell>
          <cell r="F5">
            <v>4.694</v>
          </cell>
          <cell r="G5">
            <v>12.95</v>
          </cell>
          <cell r="H5">
            <v>4.2000000000000002E-4</v>
          </cell>
          <cell r="I5">
            <v>5.5999999999999995E-4</v>
          </cell>
          <cell r="J5" t="str">
            <v>p&lt;0.001</v>
          </cell>
        </row>
        <row r="6">
          <cell r="B6">
            <v>67.408000000000001</v>
          </cell>
          <cell r="C6">
            <v>45.906075043170702</v>
          </cell>
          <cell r="D6">
            <v>88.909427524989596</v>
          </cell>
          <cell r="E6">
            <v>9.8879999999999999</v>
          </cell>
          <cell r="F6">
            <v>6.8170000000000002</v>
          </cell>
          <cell r="G6">
            <v>12.22</v>
          </cell>
          <cell r="H6">
            <v>1.7E-5</v>
          </cell>
          <cell r="I6">
            <v>2.9E-5</v>
          </cell>
          <cell r="J6" t="str">
            <v>p&lt;0.0001</v>
          </cell>
        </row>
        <row r="7">
          <cell r="B7">
            <v>81.248999999999995</v>
          </cell>
          <cell r="C7">
            <v>51.745674146421401</v>
          </cell>
          <cell r="D7">
            <v>110.7528902249</v>
          </cell>
          <cell r="E7">
            <v>14.737</v>
          </cell>
          <cell r="F7">
            <v>5.5129999999999999</v>
          </cell>
          <cell r="G7">
            <v>57.6</v>
          </cell>
          <cell r="H7">
            <v>8.7000000000000003E-7</v>
          </cell>
          <cell r="I7">
            <v>1.7E-6</v>
          </cell>
          <cell r="J7" t="str">
            <v>p&lt;0.0001</v>
          </cell>
        </row>
        <row r="8">
          <cell r="B8">
            <v>63.344000000000001</v>
          </cell>
          <cell r="C8">
            <v>40.548764552006098</v>
          </cell>
          <cell r="D8">
            <v>86.140197086469001</v>
          </cell>
          <cell r="E8">
            <v>10.831</v>
          </cell>
          <cell r="F8">
            <v>5.8490000000000002</v>
          </cell>
          <cell r="G8">
            <v>17.55</v>
          </cell>
          <cell r="H8">
            <v>1.7E-5</v>
          </cell>
          <cell r="I8">
            <v>2.9E-5</v>
          </cell>
          <cell r="J8" t="str">
            <v>p&lt;0.0001</v>
          </cell>
        </row>
        <row r="9">
          <cell r="B9">
            <v>65.388999999999996</v>
          </cell>
          <cell r="C9">
            <v>43.096406186970398</v>
          </cell>
          <cell r="D9">
            <v>87.6806831178435</v>
          </cell>
          <cell r="E9">
            <v>10.481</v>
          </cell>
          <cell r="F9">
            <v>6.2389999999999999</v>
          </cell>
          <cell r="G9">
            <v>15.37</v>
          </cell>
          <cell r="H9">
            <v>1.4E-5</v>
          </cell>
          <cell r="I9">
            <v>2.5999999999999998E-5</v>
          </cell>
          <cell r="J9" t="str">
            <v>p&lt;0.0001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0.77329835004832403</v>
          </cell>
        </row>
        <row r="3">
          <cell r="B3">
            <v>7.2121393405386897E-2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B2">
            <v>268.214</v>
          </cell>
          <cell r="C2">
            <v>187.773596811201</v>
          </cell>
          <cell r="D2">
            <v>348.65534627868499</v>
          </cell>
          <cell r="E2">
            <v>30.707999999999998</v>
          </cell>
          <cell r="F2">
            <v>8.734</v>
          </cell>
          <cell r="G2">
            <v>4.71</v>
          </cell>
          <cell r="H2">
            <v>4.4000000000000002E-4</v>
          </cell>
          <cell r="I2">
            <v>5.5000000000000003E-4</v>
          </cell>
          <cell r="J2" t="str">
            <v>p&lt;0.001</v>
          </cell>
        </row>
        <row r="3">
          <cell r="B3">
            <v>267.76299999999998</v>
          </cell>
          <cell r="C3">
            <v>187.32326051934601</v>
          </cell>
          <cell r="D3">
            <v>348.20301835662201</v>
          </cell>
          <cell r="E3">
            <v>30.709</v>
          </cell>
          <cell r="F3">
            <v>8.7189999999999994</v>
          </cell>
          <cell r="G3">
            <v>4.71</v>
          </cell>
          <cell r="H3">
            <v>4.4000000000000002E-4</v>
          </cell>
          <cell r="I3">
            <v>5.5000000000000003E-4</v>
          </cell>
          <cell r="J3" t="str">
            <v>p&lt;0.001</v>
          </cell>
        </row>
        <row r="4">
          <cell r="B4">
            <v>268.13499999999999</v>
          </cell>
          <cell r="C4">
            <v>187.71465171112101</v>
          </cell>
          <cell r="D4">
            <v>348.55534105270402</v>
          </cell>
          <cell r="E4">
            <v>30.734999999999999</v>
          </cell>
          <cell r="F4">
            <v>8.7240000000000002</v>
          </cell>
          <cell r="G4">
            <v>4.72</v>
          </cell>
          <cell r="H4">
            <v>4.4000000000000002E-4</v>
          </cell>
          <cell r="I4">
            <v>5.5000000000000003E-4</v>
          </cell>
          <cell r="J4" t="str">
            <v>p&lt;0.001</v>
          </cell>
        </row>
        <row r="5">
          <cell r="B5">
            <v>252.32</v>
          </cell>
          <cell r="C5">
            <v>171.94632084485599</v>
          </cell>
          <cell r="D5">
            <v>332.694222669618</v>
          </cell>
          <cell r="E5">
            <v>30.795000000000002</v>
          </cell>
          <cell r="F5">
            <v>8.1940000000000008</v>
          </cell>
          <cell r="G5">
            <v>4.76</v>
          </cell>
          <cell r="H5">
            <v>5.5999999999999995E-4</v>
          </cell>
          <cell r="I5">
            <v>6.4999999999999997E-4</v>
          </cell>
          <cell r="J5" t="str">
            <v>p&lt;0.001</v>
          </cell>
        </row>
        <row r="6">
          <cell r="B6">
            <v>268.214</v>
          </cell>
          <cell r="C6">
            <v>187.773596811201</v>
          </cell>
          <cell r="D6">
            <v>348.65534627868499</v>
          </cell>
          <cell r="E6">
            <v>30.707999999999998</v>
          </cell>
          <cell r="F6">
            <v>8.734</v>
          </cell>
          <cell r="G6">
            <v>4.71</v>
          </cell>
          <cell r="H6">
            <v>4.4000000000000002E-4</v>
          </cell>
          <cell r="I6">
            <v>5.5000000000000003E-4</v>
          </cell>
          <cell r="J6" t="str">
            <v>p&lt;0.001</v>
          </cell>
        </row>
        <row r="7">
          <cell r="B7">
            <v>218.333</v>
          </cell>
          <cell r="C7">
            <v>137.65677546246101</v>
          </cell>
          <cell r="D7">
            <v>299.008241273294</v>
          </cell>
          <cell r="E7">
            <v>34.774000000000001</v>
          </cell>
          <cell r="F7">
            <v>6.2789999999999999</v>
          </cell>
          <cell r="G7">
            <v>7.73</v>
          </cell>
          <cell r="H7">
            <v>2.7E-4</v>
          </cell>
          <cell r="I7">
            <v>4.0999999999999999E-4</v>
          </cell>
          <cell r="J7" t="str">
            <v>p&lt;0.001</v>
          </cell>
        </row>
        <row r="8">
          <cell r="B8">
            <v>267.35399999999998</v>
          </cell>
          <cell r="C8">
            <v>187.31942554880899</v>
          </cell>
          <cell r="D8">
            <v>347.387622512272</v>
          </cell>
          <cell r="E8">
            <v>31.405000000000001</v>
          </cell>
          <cell r="F8">
            <v>8.5129999999999999</v>
          </cell>
          <cell r="G8">
            <v>5.15</v>
          </cell>
          <cell r="H8">
            <v>3.2000000000000003E-4</v>
          </cell>
          <cell r="I8">
            <v>4.6000000000000001E-4</v>
          </cell>
          <cell r="J8" t="str">
            <v>p&lt;0.001</v>
          </cell>
        </row>
        <row r="9">
          <cell r="B9">
            <v>267.60899999999998</v>
          </cell>
          <cell r="C9">
            <v>187.45073907116199</v>
          </cell>
          <cell r="D9">
            <v>347.76631608666497</v>
          </cell>
          <cell r="E9">
            <v>31.145</v>
          </cell>
          <cell r="F9">
            <v>8.5920000000000005</v>
          </cell>
          <cell r="G9">
            <v>4.9800000000000004</v>
          </cell>
          <cell r="H9">
            <v>3.6000000000000002E-4</v>
          </cell>
          <cell r="I9">
            <v>5.1000000000000004E-4</v>
          </cell>
          <cell r="J9" t="str">
            <v>p&lt;0.001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0.85479648531734098</v>
          </cell>
        </row>
        <row r="3">
          <cell r="B3">
            <v>2.16840471179113E-2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B2">
            <v>34.866999999999997</v>
          </cell>
          <cell r="C2">
            <v>19.4382826262501</v>
          </cell>
          <cell r="D2">
            <v>50.295027165882203</v>
          </cell>
          <cell r="E2">
            <v>5.1239999999999997</v>
          </cell>
          <cell r="F2">
            <v>6.8049999999999997</v>
          </cell>
          <cell r="G2">
            <v>3.33</v>
          </cell>
          <cell r="H2">
            <v>5.0000000000000001E-3</v>
          </cell>
          <cell r="I2">
            <v>5.0000000000000001E-3</v>
          </cell>
          <cell r="J2" t="str">
            <v>p&lt;0.01</v>
          </cell>
        </row>
        <row r="3">
          <cell r="B3">
            <v>36.759</v>
          </cell>
          <cell r="C3">
            <v>21.3325029798274</v>
          </cell>
          <cell r="D3">
            <v>52.184601810676398</v>
          </cell>
          <cell r="E3">
            <v>5.1239999999999997</v>
          </cell>
          <cell r="F3">
            <v>7.173</v>
          </cell>
          <cell r="G3">
            <v>3.33</v>
          </cell>
          <cell r="H3">
            <v>4.0000000000000001E-3</v>
          </cell>
          <cell r="I3">
            <v>4.0000000000000001E-3</v>
          </cell>
          <cell r="J3" t="str">
            <v>p&lt;0.01</v>
          </cell>
        </row>
        <row r="4">
          <cell r="B4">
            <v>35.253999999999998</v>
          </cell>
          <cell r="C4">
            <v>19.866728911862801</v>
          </cell>
          <cell r="D4">
            <v>50.640272439518597</v>
          </cell>
          <cell r="E4">
            <v>5.1379999999999999</v>
          </cell>
          <cell r="F4">
            <v>6.8609999999999998</v>
          </cell>
          <cell r="G4">
            <v>3.37</v>
          </cell>
          <cell r="H4">
            <v>4.0000000000000001E-3</v>
          </cell>
          <cell r="I4">
            <v>4.0000000000000001E-3</v>
          </cell>
          <cell r="J4" t="str">
            <v>p&lt;0.01</v>
          </cell>
        </row>
        <row r="5">
          <cell r="B5">
            <v>40.253</v>
          </cell>
          <cell r="C5">
            <v>24.9750181521851</v>
          </cell>
          <cell r="D5">
            <v>55.531194866184798</v>
          </cell>
          <cell r="E5">
            <v>5.1769999999999996</v>
          </cell>
          <cell r="F5">
            <v>7.7759999999999998</v>
          </cell>
          <cell r="G5">
            <v>3.47</v>
          </cell>
          <cell r="H5">
            <v>3.0000000000000001E-3</v>
          </cell>
          <cell r="I5">
            <v>3.0000000000000001E-3</v>
          </cell>
          <cell r="J5" t="str">
            <v>p&lt;0.01</v>
          </cell>
        </row>
        <row r="6">
          <cell r="B6">
            <v>34.866999999999997</v>
          </cell>
          <cell r="C6">
            <v>19.4382826262501</v>
          </cell>
          <cell r="D6">
            <v>50.295027165882203</v>
          </cell>
          <cell r="E6">
            <v>5.1239999999999997</v>
          </cell>
          <cell r="F6">
            <v>6.8049999999999997</v>
          </cell>
          <cell r="G6">
            <v>3.33</v>
          </cell>
          <cell r="H6">
            <v>5.0000000000000001E-3</v>
          </cell>
          <cell r="I6">
            <v>5.0000000000000001E-3</v>
          </cell>
          <cell r="J6" t="str">
            <v>p&lt;0.01</v>
          </cell>
        </row>
        <row r="7">
          <cell r="B7">
            <v>22.114999999999998</v>
          </cell>
          <cell r="C7">
            <v>6.7480699939542497</v>
          </cell>
          <cell r="D7">
            <v>37.482070493688099</v>
          </cell>
          <cell r="E7">
            <v>7.0389999999999997</v>
          </cell>
          <cell r="F7">
            <v>3.1419999999999999</v>
          </cell>
          <cell r="G7">
            <v>11.79</v>
          </cell>
          <cell r="H7">
            <v>8.9999999999999993E-3</v>
          </cell>
          <cell r="I7">
            <v>0.01</v>
          </cell>
          <cell r="J7" t="str">
            <v>p&lt;0.01</v>
          </cell>
        </row>
        <row r="8">
          <cell r="B8">
            <v>53.122999999999998</v>
          </cell>
          <cell r="C8">
            <v>38.391215705540098</v>
          </cell>
          <cell r="D8">
            <v>67.855146691603295</v>
          </cell>
          <cell r="E8">
            <v>5.484</v>
          </cell>
          <cell r="F8">
            <v>9.6869999999999994</v>
          </cell>
          <cell r="G8">
            <v>4.37</v>
          </cell>
          <cell r="H8">
            <v>4.0999999999999999E-4</v>
          </cell>
          <cell r="I8">
            <v>5.5999999999999995E-4</v>
          </cell>
          <cell r="J8" t="str">
            <v>p&lt;0.001</v>
          </cell>
        </row>
        <row r="9">
          <cell r="B9">
            <v>39.985999999999997</v>
          </cell>
          <cell r="C9">
            <v>25.0674426434616</v>
          </cell>
          <cell r="D9">
            <v>54.905062194502001</v>
          </cell>
          <cell r="E9">
            <v>5.3490000000000002</v>
          </cell>
          <cell r="F9">
            <v>7.4749999999999996</v>
          </cell>
          <cell r="G9">
            <v>3.96</v>
          </cell>
          <cell r="H9">
            <v>2E-3</v>
          </cell>
          <cell r="I9">
            <v>2E-3</v>
          </cell>
          <cell r="J9" t="str">
            <v>p&lt;0.01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2">
          <cell r="C2">
            <v>8.5999999999999993E-2</v>
          </cell>
          <cell r="D2">
            <v>-0.17687652601089701</v>
          </cell>
          <cell r="E2">
            <v>0.348471817940809</v>
          </cell>
          <cell r="F2">
            <v>0.13400000000000001</v>
          </cell>
          <cell r="G2">
            <v>0.64100000000000001</v>
          </cell>
          <cell r="H2">
            <v>598.97</v>
          </cell>
          <cell r="I2">
            <v>0.52100000000000002</v>
          </cell>
          <cell r="J2">
            <v>0.60199999999999998</v>
          </cell>
        </row>
        <row r="3">
          <cell r="C3">
            <v>1.1879999999999999</v>
          </cell>
          <cell r="D3">
            <v>0.89789380261555396</v>
          </cell>
          <cell r="E3">
            <v>1.4777286068392399</v>
          </cell>
          <cell r="F3">
            <v>0.14799999999999999</v>
          </cell>
          <cell r="G3">
            <v>8.0459999999999994</v>
          </cell>
          <cell r="H3">
            <v>599.01</v>
          </cell>
          <cell r="I3">
            <v>4.5999999999999998E-15</v>
          </cell>
          <cell r="J3">
            <v>3.4E-14</v>
          </cell>
          <cell r="K3" t="str">
            <v>p&lt;0.0001</v>
          </cell>
        </row>
        <row r="4">
          <cell r="C4">
            <v>1.042</v>
          </cell>
          <cell r="D4">
            <v>0.63743718426227003</v>
          </cell>
          <cell r="E4">
            <v>1.4461521942798901</v>
          </cell>
          <cell r="F4">
            <v>0.20599999999999999</v>
          </cell>
          <cell r="G4">
            <v>5.0599999999999996</v>
          </cell>
          <cell r="H4">
            <v>600.46</v>
          </cell>
          <cell r="I4">
            <v>5.6000000000000004E-7</v>
          </cell>
          <cell r="J4">
            <v>1.7999999999999999E-6</v>
          </cell>
          <cell r="K4" t="str">
            <v>p&lt;0.0001</v>
          </cell>
        </row>
        <row r="5">
          <cell r="C5">
            <v>1.1020000000000001</v>
          </cell>
          <cell r="D5">
            <v>0.81076147454720304</v>
          </cell>
          <cell r="E5">
            <v>1.3932656436680999</v>
          </cell>
          <cell r="F5">
            <v>0.14799999999999999</v>
          </cell>
          <cell r="G5">
            <v>7.431</v>
          </cell>
          <cell r="H5">
            <v>599.04</v>
          </cell>
          <cell r="I5">
            <v>3.6999999999999999E-13</v>
          </cell>
          <cell r="J5">
            <v>2E-12</v>
          </cell>
          <cell r="K5" t="str">
            <v>p&lt;0.0001</v>
          </cell>
        </row>
        <row r="6">
          <cell r="C6">
            <v>0.95599999999999996</v>
          </cell>
          <cell r="D6">
            <v>0.54997486140528795</v>
          </cell>
          <cell r="E6">
            <v>1.36201922907551</v>
          </cell>
          <cell r="F6">
            <v>0.20699999999999999</v>
          </cell>
          <cell r="G6">
            <v>4.6239999999999997</v>
          </cell>
          <cell r="H6">
            <v>600.49</v>
          </cell>
          <cell r="I6">
            <v>4.6E-6</v>
          </cell>
          <cell r="J6">
            <v>1.2999999999999999E-5</v>
          </cell>
          <cell r="K6" t="str">
            <v>p&lt;0.0001</v>
          </cell>
        </row>
        <row r="7">
          <cell r="C7">
            <v>-0.14599999999999999</v>
          </cell>
          <cell r="D7">
            <v>-0.56249167780578202</v>
          </cell>
          <cell r="E7">
            <v>0.270458625601048</v>
          </cell>
          <cell r="F7">
            <v>0.21199999999999999</v>
          </cell>
          <cell r="G7">
            <v>-0.68899999999999995</v>
          </cell>
          <cell r="H7">
            <v>600.35</v>
          </cell>
          <cell r="I7">
            <v>0.49099999999999999</v>
          </cell>
          <cell r="J7">
            <v>0.57199999999999995</v>
          </cell>
        </row>
        <row r="8">
          <cell r="C8">
            <v>2.88</v>
          </cell>
          <cell r="D8">
            <v>1.4143519263022799</v>
          </cell>
          <cell r="E8">
            <v>4.3456949573352404</v>
          </cell>
          <cell r="F8">
            <v>0.746</v>
          </cell>
          <cell r="G8">
            <v>3.859</v>
          </cell>
          <cell r="H8">
            <v>600</v>
          </cell>
          <cell r="I8">
            <v>1.2999999999999999E-4</v>
          </cell>
          <cell r="J8">
            <v>3.3E-4</v>
          </cell>
          <cell r="K8" t="str">
            <v>p&lt;0.001</v>
          </cell>
        </row>
        <row r="9">
          <cell r="C9">
            <v>0.71599999999999997</v>
          </cell>
          <cell r="D9">
            <v>0.109810559163631</v>
          </cell>
          <cell r="E9">
            <v>1.3228377311159101</v>
          </cell>
          <cell r="F9">
            <v>0.309</v>
          </cell>
          <cell r="G9">
            <v>2.3199999999999998</v>
          </cell>
          <cell r="H9">
            <v>599.23</v>
          </cell>
          <cell r="I9">
            <v>2.1000000000000001E-2</v>
          </cell>
          <cell r="J9">
            <v>3.3000000000000002E-2</v>
          </cell>
          <cell r="K9" t="str">
            <v>p&lt;0.05</v>
          </cell>
        </row>
        <row r="10">
          <cell r="C10">
            <v>2.7330000000000001</v>
          </cell>
          <cell r="D10">
            <v>2.2651751197030698</v>
          </cell>
          <cell r="E10">
            <v>3.20129385599936</v>
          </cell>
          <cell r="F10">
            <v>0.23799999999999999</v>
          </cell>
          <cell r="G10">
            <v>11.468</v>
          </cell>
          <cell r="H10">
            <v>599.17999999999995</v>
          </cell>
          <cell r="I10">
            <v>1.2E-27</v>
          </cell>
          <cell r="J10">
            <v>2.2000000000000001E-26</v>
          </cell>
          <cell r="K10" t="str">
            <v>p&lt;0.0001</v>
          </cell>
        </row>
        <row r="11">
          <cell r="C11">
            <v>-2.1640000000000001</v>
          </cell>
          <cell r="D11">
            <v>-3.6806370499734702</v>
          </cell>
          <cell r="E11">
            <v>-0.64676155498061305</v>
          </cell>
          <cell r="F11">
            <v>0.77200000000000002</v>
          </cell>
          <cell r="G11">
            <v>-2.8010000000000002</v>
          </cell>
          <cell r="H11">
            <v>600.20000000000005</v>
          </cell>
          <cell r="I11">
            <v>5.0000000000000001E-3</v>
          </cell>
          <cell r="J11">
            <v>8.0000000000000002E-3</v>
          </cell>
          <cell r="K11" t="str">
            <v>p&lt;0.01</v>
          </cell>
        </row>
        <row r="12">
          <cell r="C12">
            <v>-0.14699999999999999</v>
          </cell>
          <cell r="D12">
            <v>-1.5892615115800499</v>
          </cell>
          <cell r="E12">
            <v>1.2956835949843299</v>
          </cell>
          <cell r="F12">
            <v>0.73399999999999999</v>
          </cell>
          <cell r="G12">
            <v>-0.2</v>
          </cell>
          <cell r="H12">
            <v>599.91</v>
          </cell>
          <cell r="I12">
            <v>0.84199999999999997</v>
          </cell>
          <cell r="J12">
            <v>0.90600000000000003</v>
          </cell>
        </row>
        <row r="13">
          <cell r="C13">
            <v>2.0169999999999999</v>
          </cell>
          <cell r="D13">
            <v>1.43143752895072</v>
          </cell>
          <cell r="E13">
            <v>2.6023831583079602</v>
          </cell>
          <cell r="F13">
            <v>0.29799999999999999</v>
          </cell>
          <cell r="G13">
            <v>6.766</v>
          </cell>
          <cell r="H13">
            <v>599.44000000000005</v>
          </cell>
          <cell r="I13">
            <v>3.1999999999999999E-11</v>
          </cell>
          <cell r="J13">
            <v>1.4000000000000001E-10</v>
          </cell>
          <cell r="K13" t="str">
            <v>p&lt;0.0001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0.41699999999999998</v>
          </cell>
          <cell r="D2">
            <v>3.2769822598991402E-2</v>
          </cell>
          <cell r="E2">
            <v>0.80218190937686995</v>
          </cell>
          <cell r="F2">
            <v>0.19600000000000001</v>
          </cell>
          <cell r="G2">
            <v>2.1309999999999998</v>
          </cell>
          <cell r="H2">
            <v>609.98</v>
          </cell>
          <cell r="I2">
            <v>3.3000000000000002E-2</v>
          </cell>
          <cell r="J2">
            <v>0.05</v>
          </cell>
          <cell r="K2" t="str">
            <v>p&lt;0.05</v>
          </cell>
        </row>
        <row r="3">
          <cell r="C3">
            <v>1.129</v>
          </cell>
          <cell r="D3">
            <v>0.70325590722223796</v>
          </cell>
          <cell r="E3">
            <v>1.5551863947656099</v>
          </cell>
          <cell r="F3">
            <v>0.217</v>
          </cell>
          <cell r="G3">
            <v>5.2060000000000004</v>
          </cell>
          <cell r="H3">
            <v>610.05999999999995</v>
          </cell>
          <cell r="I3">
            <v>2.6E-7</v>
          </cell>
          <cell r="J3">
            <v>8.8999999999999995E-7</v>
          </cell>
          <cell r="K3" t="str">
            <v>p&lt;0.0001</v>
          </cell>
        </row>
        <row r="4">
          <cell r="C4">
            <v>2.2999999999999998</v>
          </cell>
          <cell r="D4">
            <v>1.7262072036284699</v>
          </cell>
          <cell r="E4">
            <v>2.87377148473445</v>
          </cell>
          <cell r="F4">
            <v>0.29199999999999998</v>
          </cell>
          <cell r="G4">
            <v>7.8719999999999999</v>
          </cell>
          <cell r="H4">
            <v>611.79999999999995</v>
          </cell>
          <cell r="I4">
            <v>1.6000000000000001E-14</v>
          </cell>
          <cell r="J4">
            <v>1.1E-13</v>
          </cell>
          <cell r="K4" t="str">
            <v>p&lt;0.0001</v>
          </cell>
        </row>
        <row r="5">
          <cell r="C5">
            <v>0.71199999999999997</v>
          </cell>
          <cell r="D5">
            <v>0.28494370098336003</v>
          </cell>
          <cell r="E5">
            <v>1.1385468689305001</v>
          </cell>
          <cell r="F5">
            <v>0.217</v>
          </cell>
          <cell r="G5">
            <v>3.2749999999999999</v>
          </cell>
          <cell r="H5">
            <v>610.1</v>
          </cell>
          <cell r="I5">
            <v>1E-3</v>
          </cell>
          <cell r="J5">
            <v>2E-3</v>
          </cell>
          <cell r="K5" t="str">
            <v>p&lt;0.01</v>
          </cell>
        </row>
        <row r="6">
          <cell r="C6">
            <v>1.883</v>
          </cell>
          <cell r="D6">
            <v>1.3076358441581</v>
          </cell>
          <cell r="E6">
            <v>2.4573911118231799</v>
          </cell>
          <cell r="F6">
            <v>0.29299999999999998</v>
          </cell>
          <cell r="G6">
            <v>6.431</v>
          </cell>
          <cell r="H6">
            <v>611.84</v>
          </cell>
          <cell r="I6">
            <v>2.5999999999999998E-10</v>
          </cell>
          <cell r="J6">
            <v>1.0999999999999999E-9</v>
          </cell>
          <cell r="K6" t="str">
            <v>p&lt;0.0001</v>
          </cell>
        </row>
        <row r="7">
          <cell r="C7">
            <v>1.171</v>
          </cell>
          <cell r="D7">
            <v>0.57785820696894397</v>
          </cell>
          <cell r="E7">
            <v>1.7636781799102601</v>
          </cell>
          <cell r="F7">
            <v>0.30199999999999999</v>
          </cell>
          <cell r="G7">
            <v>3.8780000000000001</v>
          </cell>
          <cell r="H7">
            <v>611.64</v>
          </cell>
          <cell r="I7">
            <v>1.2E-4</v>
          </cell>
          <cell r="J7">
            <v>3.1E-4</v>
          </cell>
          <cell r="K7" t="str">
            <v>p&lt;0.001</v>
          </cell>
        </row>
        <row r="8">
          <cell r="C8">
            <v>-0.27300000000000002</v>
          </cell>
          <cell r="D8">
            <v>-2.4228532078011602</v>
          </cell>
          <cell r="E8">
            <v>1.87670209698594</v>
          </cell>
          <cell r="F8">
            <v>1.095</v>
          </cell>
          <cell r="G8">
            <v>-0.249</v>
          </cell>
          <cell r="H8">
            <v>610.98</v>
          </cell>
          <cell r="I8">
            <v>0.80300000000000005</v>
          </cell>
          <cell r="J8">
            <v>0.879</v>
          </cell>
        </row>
        <row r="9">
          <cell r="C9">
            <v>3.577</v>
          </cell>
          <cell r="D9">
            <v>2.7248136399718699</v>
          </cell>
          <cell r="E9">
            <v>4.4287303056152298</v>
          </cell>
          <cell r="F9">
            <v>0.434</v>
          </cell>
          <cell r="G9">
            <v>8.2449999999999992</v>
          </cell>
          <cell r="H9">
            <v>610.16999999999996</v>
          </cell>
          <cell r="I9">
            <v>1.0000000000000001E-15</v>
          </cell>
          <cell r="J9">
            <v>7.8999999999999998E-15</v>
          </cell>
          <cell r="K9" t="str">
            <v>p&lt;0.0001</v>
          </cell>
        </row>
        <row r="10">
          <cell r="C10">
            <v>3.5680000000000001</v>
          </cell>
          <cell r="D10">
            <v>2.9027965666353199</v>
          </cell>
          <cell r="E10">
            <v>4.2336322711520298</v>
          </cell>
          <cell r="F10">
            <v>0.33900000000000002</v>
          </cell>
          <cell r="G10">
            <v>10.531000000000001</v>
          </cell>
          <cell r="H10">
            <v>610.69000000000005</v>
          </cell>
          <cell r="I10">
            <v>6.1000000000000004E-24</v>
          </cell>
          <cell r="J10">
            <v>8.6E-23</v>
          </cell>
          <cell r="K10" t="str">
            <v>p&lt;0.0001</v>
          </cell>
        </row>
        <row r="11">
          <cell r="C11">
            <v>3.85</v>
          </cell>
          <cell r="D11">
            <v>1.6272669506864601</v>
          </cell>
          <cell r="E11">
            <v>6.0724281061155496</v>
          </cell>
          <cell r="F11">
            <v>1.1319999999999999</v>
          </cell>
          <cell r="G11">
            <v>3.4020000000000001</v>
          </cell>
          <cell r="H11">
            <v>611</v>
          </cell>
          <cell r="I11">
            <v>7.1000000000000002E-4</v>
          </cell>
          <cell r="J11">
            <v>1E-3</v>
          </cell>
          <cell r="K11" t="str">
            <v>p&lt;0.01</v>
          </cell>
        </row>
        <row r="12">
          <cell r="C12">
            <v>3.8410000000000002</v>
          </cell>
          <cell r="D12">
            <v>1.7225676834208301</v>
          </cell>
          <cell r="E12">
            <v>5.9600122655439902</v>
          </cell>
          <cell r="F12">
            <v>1.079</v>
          </cell>
          <cell r="G12">
            <v>3.5609999999999999</v>
          </cell>
          <cell r="H12">
            <v>610.77</v>
          </cell>
          <cell r="I12">
            <v>4.0000000000000002E-4</v>
          </cell>
          <cell r="J12">
            <v>9.1E-4</v>
          </cell>
          <cell r="K12" t="str">
            <v>p&lt;0.001</v>
          </cell>
        </row>
        <row r="13">
          <cell r="C13">
            <v>-8.9999999999999993E-3</v>
          </cell>
          <cell r="D13">
            <v>-0.85602072995003098</v>
          </cell>
          <cell r="E13">
            <v>0.83890562248414102</v>
          </cell>
          <cell r="F13">
            <v>0.432</v>
          </cell>
          <cell r="G13">
            <v>-0.02</v>
          </cell>
          <cell r="H13">
            <v>610.48</v>
          </cell>
          <cell r="I13">
            <v>0.98399999999999999</v>
          </cell>
          <cell r="J13">
            <v>0.98399999999999999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0.19700000000000001</v>
          </cell>
          <cell r="D2">
            <v>-9.0348640704437003E-2</v>
          </cell>
          <cell r="E2">
            <v>0.48345020198361999</v>
          </cell>
          <cell r="F2">
            <v>0.14599999999999999</v>
          </cell>
          <cell r="G2">
            <v>1.345</v>
          </cell>
          <cell r="H2">
            <v>606.87</v>
          </cell>
          <cell r="I2">
            <v>0.17899999999999999</v>
          </cell>
          <cell r="J2">
            <v>0.23300000000000001</v>
          </cell>
        </row>
        <row r="3">
          <cell r="C3">
            <v>-0.10100000000000001</v>
          </cell>
          <cell r="D3">
            <v>-0.417395282389037</v>
          </cell>
          <cell r="E3">
            <v>0.21519745104635901</v>
          </cell>
          <cell r="F3">
            <v>0.161</v>
          </cell>
          <cell r="G3">
            <v>-0.628</v>
          </cell>
          <cell r="H3">
            <v>607.74</v>
          </cell>
          <cell r="I3">
            <v>0.53</v>
          </cell>
          <cell r="J3">
            <v>0.60599999999999998</v>
          </cell>
        </row>
        <row r="4">
          <cell r="C4">
            <v>0.95499999999999996</v>
          </cell>
          <cell r="D4">
            <v>0.53227932948249101</v>
          </cell>
          <cell r="E4">
            <v>1.37738797143903</v>
          </cell>
          <cell r="F4">
            <v>0.215</v>
          </cell>
          <cell r="G4">
            <v>4.4379999999999997</v>
          </cell>
          <cell r="H4">
            <v>577.9</v>
          </cell>
          <cell r="I4">
            <v>1.1E-5</v>
          </cell>
          <cell r="J4">
            <v>3.0000000000000001E-5</v>
          </cell>
          <cell r="K4" t="str">
            <v>p&lt;0.0001</v>
          </cell>
        </row>
        <row r="5">
          <cell r="C5">
            <v>-0.29799999999999999</v>
          </cell>
          <cell r="D5">
            <v>-0.61496604840540603</v>
          </cell>
          <cell r="E5">
            <v>1.9666655804732001E-2</v>
          </cell>
          <cell r="F5">
            <v>0.16200000000000001</v>
          </cell>
          <cell r="G5">
            <v>-1.8420000000000001</v>
          </cell>
          <cell r="H5">
            <v>607.92999999999995</v>
          </cell>
          <cell r="I5">
            <v>6.6000000000000003E-2</v>
          </cell>
          <cell r="J5">
            <v>9.6000000000000002E-2</v>
          </cell>
        </row>
        <row r="6">
          <cell r="C6">
            <v>0.75800000000000001</v>
          </cell>
          <cell r="D6">
            <v>0.334616627355586</v>
          </cell>
          <cell r="E6">
            <v>1.18194911255576</v>
          </cell>
          <cell r="F6">
            <v>0.216</v>
          </cell>
          <cell r="G6">
            <v>3.5150000000000001</v>
          </cell>
          <cell r="H6">
            <v>577.29999999999995</v>
          </cell>
          <cell r="I6">
            <v>4.6999999999999999E-4</v>
          </cell>
          <cell r="J6">
            <v>1E-3</v>
          </cell>
          <cell r="K6" t="str">
            <v>p&lt;0.01</v>
          </cell>
        </row>
        <row r="7">
          <cell r="C7">
            <v>1.056</v>
          </cell>
          <cell r="D7">
            <v>0.61895505458744304</v>
          </cell>
          <cell r="E7">
            <v>1.49291007764939</v>
          </cell>
          <cell r="F7">
            <v>0.222</v>
          </cell>
          <cell r="G7">
            <v>4.7460000000000004</v>
          </cell>
          <cell r="H7">
            <v>584.46</v>
          </cell>
          <cell r="I7">
            <v>2.6000000000000001E-6</v>
          </cell>
          <cell r="J7">
            <v>7.9000000000000006E-6</v>
          </cell>
          <cell r="K7" t="str">
            <v>p&lt;0.0001</v>
          </cell>
        </row>
        <row r="8">
          <cell r="C8">
            <v>-2.8319999999999999</v>
          </cell>
          <cell r="D8">
            <v>-4.4241599908335303</v>
          </cell>
          <cell r="E8">
            <v>-1.2388962281909199</v>
          </cell>
          <cell r="F8">
            <v>0.81100000000000005</v>
          </cell>
          <cell r="G8">
            <v>-3.492</v>
          </cell>
          <cell r="H8">
            <v>609.54</v>
          </cell>
          <cell r="I8">
            <v>5.1000000000000004E-4</v>
          </cell>
          <cell r="J8">
            <v>1E-3</v>
          </cell>
          <cell r="K8" t="str">
            <v>p&lt;0.01</v>
          </cell>
        </row>
        <row r="9">
          <cell r="C9">
            <v>3.6309999999999998</v>
          </cell>
          <cell r="D9">
            <v>2.99901827025539</v>
          </cell>
          <cell r="E9">
            <v>4.2633294345496902</v>
          </cell>
          <cell r="F9">
            <v>0.32200000000000001</v>
          </cell>
          <cell r="G9">
            <v>11.281000000000001</v>
          </cell>
          <cell r="H9">
            <v>608.72</v>
          </cell>
          <cell r="I9">
            <v>6.1999999999999997E-27</v>
          </cell>
          <cell r="J9">
            <v>9.7999999999999998E-26</v>
          </cell>
          <cell r="K9" t="str">
            <v>p&lt;0.0001</v>
          </cell>
        </row>
        <row r="10">
          <cell r="C10">
            <v>1.1850000000000001</v>
          </cell>
          <cell r="D10">
            <v>0.69191196706534797</v>
          </cell>
          <cell r="E10">
            <v>1.67786229883583</v>
          </cell>
          <cell r="F10">
            <v>0.251</v>
          </cell>
          <cell r="G10">
            <v>4.72</v>
          </cell>
          <cell r="H10">
            <v>612.25</v>
          </cell>
          <cell r="I10">
            <v>2.9000000000000002E-6</v>
          </cell>
          <cell r="J10">
            <v>8.6000000000000007E-6</v>
          </cell>
          <cell r="K10" t="str">
            <v>p&lt;0.0001</v>
          </cell>
        </row>
        <row r="11">
          <cell r="C11">
            <v>6.4630000000000001</v>
          </cell>
          <cell r="D11">
            <v>4.8163044103559001</v>
          </cell>
          <cell r="E11">
            <v>8.1090995131965293</v>
          </cell>
          <cell r="F11">
            <v>0.83799999999999997</v>
          </cell>
          <cell r="G11">
            <v>7.7089999999999996</v>
          </cell>
          <cell r="H11">
            <v>609.54</v>
          </cell>
          <cell r="I11">
            <v>5.1999999999999999E-14</v>
          </cell>
          <cell r="J11">
            <v>3.0999999999999999E-13</v>
          </cell>
          <cell r="K11" t="str">
            <v>p&lt;0.0001</v>
          </cell>
        </row>
        <row r="12">
          <cell r="C12">
            <v>4.016</v>
          </cell>
          <cell r="D12">
            <v>2.4460282843314398</v>
          </cell>
          <cell r="E12">
            <v>5.5868022003215403</v>
          </cell>
          <cell r="F12">
            <v>0.8</v>
          </cell>
          <cell r="G12">
            <v>5.0229999999999997</v>
          </cell>
          <cell r="H12">
            <v>610.63</v>
          </cell>
          <cell r="I12">
            <v>6.7000000000000004E-7</v>
          </cell>
          <cell r="J12">
            <v>2.0999999999999998E-6</v>
          </cell>
          <cell r="K12" t="str">
            <v>p&lt;0.0001</v>
          </cell>
        </row>
        <row r="13">
          <cell r="C13">
            <v>-2.4460000000000002</v>
          </cell>
          <cell r="D13">
            <v>-3.0745931630236298</v>
          </cell>
          <cell r="E13">
            <v>-1.8179802760174999</v>
          </cell>
          <cell r="F13">
            <v>0.32</v>
          </cell>
          <cell r="G13">
            <v>-7.6459999999999999</v>
          </cell>
          <cell r="H13">
            <v>611.05999999999995</v>
          </cell>
          <cell r="I13">
            <v>8.0999999999999996E-14</v>
          </cell>
          <cell r="J13">
            <v>4.7000000000000002E-13</v>
          </cell>
          <cell r="K13" t="str">
            <v>p&lt;0.0001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1"/>
    </sheetNames>
    <sheetDataSet>
      <sheetData sheetId="0">
        <row r="2">
          <cell r="C2">
            <v>0.29899999999999999</v>
          </cell>
          <cell r="D2">
            <v>9.2334577769921308E-3</v>
          </cell>
          <cell r="E2">
            <v>0.58803483442042204</v>
          </cell>
          <cell r="F2">
            <v>0.14699999999999999</v>
          </cell>
          <cell r="G2">
            <v>2.0270000000000001</v>
          </cell>
          <cell r="H2">
            <v>597.91999999999996</v>
          </cell>
          <cell r="I2">
            <v>4.2999999999999997E-2</v>
          </cell>
          <cell r="J2">
            <v>6.4000000000000001E-2</v>
          </cell>
        </row>
        <row r="3">
          <cell r="C3">
            <v>1.3109999999999999</v>
          </cell>
          <cell r="D3">
            <v>0.99101300815862903</v>
          </cell>
          <cell r="E3">
            <v>1.6319344797167299</v>
          </cell>
          <cell r="F3">
            <v>0.16300000000000001</v>
          </cell>
          <cell r="G3">
            <v>8.0370000000000008</v>
          </cell>
          <cell r="H3">
            <v>597.99</v>
          </cell>
          <cell r="I3">
            <v>4.8999999999999999E-15</v>
          </cell>
          <cell r="J3">
            <v>3.5000000000000002E-14</v>
          </cell>
          <cell r="K3" t="str">
            <v>p&lt;0.0001</v>
          </cell>
        </row>
        <row r="4">
          <cell r="C4">
            <v>1.5649999999999999</v>
          </cell>
          <cell r="D4">
            <v>1.1207256076226899</v>
          </cell>
          <cell r="E4">
            <v>2.0086449271115701</v>
          </cell>
          <cell r="F4">
            <v>0.22600000000000001</v>
          </cell>
          <cell r="G4">
            <v>6.9219999999999997</v>
          </cell>
          <cell r="H4">
            <v>599.54</v>
          </cell>
          <cell r="I4">
            <v>1.2000000000000001E-11</v>
          </cell>
          <cell r="J4">
            <v>5.6E-11</v>
          </cell>
          <cell r="K4" t="str">
            <v>p&lt;0.0001</v>
          </cell>
        </row>
        <row r="5">
          <cell r="C5">
            <v>1.0129999999999999</v>
          </cell>
          <cell r="D5">
            <v>0.69175665964548305</v>
          </cell>
          <cell r="E5">
            <v>1.3339225360192799</v>
          </cell>
          <cell r="F5">
            <v>0.16300000000000001</v>
          </cell>
          <cell r="G5">
            <v>6.1950000000000003</v>
          </cell>
          <cell r="H5">
            <v>598</v>
          </cell>
          <cell r="I5">
            <v>1.0999999999999999E-9</v>
          </cell>
          <cell r="J5">
            <v>4.2000000000000004E-9</v>
          </cell>
          <cell r="K5" t="str">
            <v>p&lt;0.0001</v>
          </cell>
        </row>
        <row r="6">
          <cell r="C6">
            <v>1.266</v>
          </cell>
          <cell r="D6">
            <v>0.82132041693241498</v>
          </cell>
          <cell r="E6">
            <v>1.7107818254062399</v>
          </cell>
          <cell r="F6">
            <v>0.22600000000000001</v>
          </cell>
          <cell r="G6">
            <v>5.5910000000000002</v>
          </cell>
          <cell r="H6">
            <v>599.52</v>
          </cell>
          <cell r="I6">
            <v>3.4E-8</v>
          </cell>
          <cell r="J6">
            <v>1.1999999999999999E-7</v>
          </cell>
          <cell r="K6" t="str">
            <v>p&lt;0.0001</v>
          </cell>
        </row>
        <row r="7">
          <cell r="C7">
            <v>0.253</v>
          </cell>
          <cell r="D7">
            <v>-0.204393626527065</v>
          </cell>
          <cell r="E7">
            <v>0.71081667329294596</v>
          </cell>
          <cell r="F7">
            <v>0.23300000000000001</v>
          </cell>
          <cell r="G7">
            <v>1.087</v>
          </cell>
          <cell r="H7">
            <v>599.30999999999995</v>
          </cell>
          <cell r="I7">
            <v>0.27800000000000002</v>
          </cell>
          <cell r="J7">
            <v>0.34599999999999997</v>
          </cell>
        </row>
        <row r="8">
          <cell r="C8">
            <v>0.998</v>
          </cell>
          <cell r="D8">
            <v>-0.62461948199060102</v>
          </cell>
          <cell r="E8">
            <v>2.6209665747120798</v>
          </cell>
          <cell r="F8">
            <v>0.82599999999999996</v>
          </cell>
          <cell r="G8">
            <v>1.208</v>
          </cell>
          <cell r="H8">
            <v>600.28</v>
          </cell>
          <cell r="I8">
            <v>0.22800000000000001</v>
          </cell>
          <cell r="J8">
            <v>0.28999999999999998</v>
          </cell>
        </row>
        <row r="9">
          <cell r="C9">
            <v>2.2130000000000001</v>
          </cell>
          <cell r="D9">
            <v>1.5338105597015399</v>
          </cell>
          <cell r="E9">
            <v>2.8916041651295799</v>
          </cell>
          <cell r="F9">
            <v>0.34599999999999997</v>
          </cell>
          <cell r="G9">
            <v>6.4009999999999998</v>
          </cell>
          <cell r="H9">
            <v>599.23</v>
          </cell>
          <cell r="I9">
            <v>3.1000000000000002E-10</v>
          </cell>
          <cell r="J9">
            <v>1.3000000000000001E-9</v>
          </cell>
          <cell r="K9" t="str">
            <v>p&lt;0.0001</v>
          </cell>
        </row>
        <row r="10">
          <cell r="C10">
            <v>3.1789999999999998</v>
          </cell>
          <cell r="D10">
            <v>2.6624850022811799</v>
          </cell>
          <cell r="E10">
            <v>3.6952876131989698</v>
          </cell>
          <cell r="F10">
            <v>0.26300000000000001</v>
          </cell>
          <cell r="G10">
            <v>12.09</v>
          </cell>
          <cell r="H10">
            <v>598.59</v>
          </cell>
          <cell r="I10">
            <v>2.8999999999999999E-30</v>
          </cell>
          <cell r="J10">
            <v>7.3999999999999995E-29</v>
          </cell>
          <cell r="K10" t="str">
            <v>p&lt;0.0001</v>
          </cell>
        </row>
        <row r="11">
          <cell r="C11">
            <v>1.2150000000000001</v>
          </cell>
          <cell r="D11">
            <v>-0.46674811825404999</v>
          </cell>
          <cell r="E11">
            <v>2.89581574910373</v>
          </cell>
          <cell r="F11">
            <v>0.85599999999999998</v>
          </cell>
          <cell r="G11">
            <v>1.419</v>
          </cell>
          <cell r="H11">
            <v>599.72</v>
          </cell>
          <cell r="I11">
            <v>0.157</v>
          </cell>
          <cell r="J11">
            <v>0.21</v>
          </cell>
        </row>
        <row r="12">
          <cell r="C12">
            <v>2.181</v>
          </cell>
          <cell r="D12">
            <v>0.58259054137577504</v>
          </cell>
          <cell r="E12">
            <v>3.7788349802785799</v>
          </cell>
          <cell r="F12">
            <v>0.81399999999999995</v>
          </cell>
          <cell r="G12">
            <v>2.68</v>
          </cell>
          <cell r="H12">
            <v>600.34</v>
          </cell>
          <cell r="I12">
            <v>8.0000000000000002E-3</v>
          </cell>
          <cell r="J12">
            <v>1.2999999999999999E-2</v>
          </cell>
          <cell r="K12" t="str">
            <v>p&lt;0.05</v>
          </cell>
        </row>
        <row r="13">
          <cell r="C13">
            <v>0.96599999999999997</v>
          </cell>
          <cell r="D13">
            <v>0.30459327404834602</v>
          </cell>
          <cell r="E13">
            <v>1.62776461647215</v>
          </cell>
          <cell r="F13">
            <v>0.33700000000000002</v>
          </cell>
          <cell r="G13">
            <v>2.8679999999999999</v>
          </cell>
          <cell r="H13">
            <v>599.89</v>
          </cell>
          <cell r="I13">
            <v>4.0000000000000001E-3</v>
          </cell>
          <cell r="J13">
            <v>7.0000000000000001E-3</v>
          </cell>
          <cell r="K13" t="str">
            <v>p&lt;0.01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0.77487713461109398</v>
          </cell>
        </row>
        <row r="3">
          <cell r="B3">
            <v>5.4608297896494802E-2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0.32500000000000001</v>
          </cell>
          <cell r="D2">
            <v>-3.5449395705412399</v>
          </cell>
          <cell r="E2">
            <v>4.1943195758573397</v>
          </cell>
          <cell r="F2">
            <v>1.97</v>
          </cell>
          <cell r="G2">
            <v>0.16500000000000001</v>
          </cell>
          <cell r="H2">
            <v>604.92999999999995</v>
          </cell>
          <cell r="I2">
            <v>0.86899999999999999</v>
          </cell>
          <cell r="J2">
            <v>0.92700000000000005</v>
          </cell>
        </row>
        <row r="3">
          <cell r="C3">
            <v>2.0680000000000001</v>
          </cell>
          <cell r="D3">
            <v>-2.2250529520495501</v>
          </cell>
          <cell r="E3">
            <v>6.3616380615155297</v>
          </cell>
          <cell r="F3">
            <v>2.1859999999999999</v>
          </cell>
          <cell r="G3">
            <v>0.94599999999999995</v>
          </cell>
          <cell r="H3">
            <v>605.15</v>
          </cell>
          <cell r="I3">
            <v>0.34399999999999997</v>
          </cell>
          <cell r="J3">
            <v>0.42399999999999999</v>
          </cell>
        </row>
        <row r="4">
          <cell r="C4">
            <v>-20.366</v>
          </cell>
          <cell r="D4">
            <v>-26.087701974711099</v>
          </cell>
          <cell r="E4">
            <v>-14.6448481236961</v>
          </cell>
          <cell r="F4">
            <v>2.9129999999999998</v>
          </cell>
          <cell r="G4">
            <v>-6.992</v>
          </cell>
          <cell r="H4">
            <v>569.44000000000005</v>
          </cell>
          <cell r="I4">
            <v>7.5999999999999999E-12</v>
          </cell>
          <cell r="J4">
            <v>3.7000000000000001E-11</v>
          </cell>
          <cell r="K4" t="str">
            <v>p&lt;0.0001</v>
          </cell>
        </row>
        <row r="5">
          <cell r="C5">
            <v>1.744</v>
          </cell>
          <cell r="D5">
            <v>-2.5541235585089601</v>
          </cell>
          <cell r="E5">
            <v>6.0413286631581498</v>
          </cell>
          <cell r="F5">
            <v>2.1880000000000002</v>
          </cell>
          <cell r="G5">
            <v>0.79700000000000004</v>
          </cell>
          <cell r="H5">
            <v>605.33000000000004</v>
          </cell>
          <cell r="I5">
            <v>0.42599999999999999</v>
          </cell>
          <cell r="J5">
            <v>0.51</v>
          </cell>
        </row>
        <row r="6">
          <cell r="C6">
            <v>-20.690999999999999</v>
          </cell>
          <cell r="D6">
            <v>-26.419836528801198</v>
          </cell>
          <cell r="E6">
            <v>-14.9620935641854</v>
          </cell>
          <cell r="F6">
            <v>2.9169999999999998</v>
          </cell>
          <cell r="G6">
            <v>-7.0940000000000003</v>
          </cell>
          <cell r="H6">
            <v>568.01</v>
          </cell>
          <cell r="I6">
            <v>3.8999999999999999E-12</v>
          </cell>
          <cell r="J6">
            <v>1.9999999999999999E-11</v>
          </cell>
          <cell r="K6" t="str">
            <v>p&lt;0.0001</v>
          </cell>
        </row>
        <row r="7">
          <cell r="C7">
            <v>-22.434999999999999</v>
          </cell>
          <cell r="D7">
            <v>-28.356812442248</v>
          </cell>
          <cell r="E7">
            <v>-16.512322761843802</v>
          </cell>
          <cell r="F7">
            <v>3.0150000000000001</v>
          </cell>
          <cell r="G7">
            <v>-7.44</v>
          </cell>
          <cell r="H7">
            <v>578.39</v>
          </cell>
          <cell r="I7">
            <v>3.6999999999999999E-13</v>
          </cell>
          <cell r="J7">
            <v>2E-12</v>
          </cell>
          <cell r="K7" t="str">
            <v>p&lt;0.0001</v>
          </cell>
        </row>
        <row r="8">
          <cell r="C8">
            <v>13.842000000000001</v>
          </cell>
          <cell r="D8">
            <v>-7.7286761016436296</v>
          </cell>
          <cell r="E8">
            <v>35.411761488235797</v>
          </cell>
          <cell r="F8">
            <v>10.983000000000001</v>
          </cell>
          <cell r="G8">
            <v>1.26</v>
          </cell>
          <cell r="H8">
            <v>606.73</v>
          </cell>
          <cell r="I8">
            <v>0.20799999999999999</v>
          </cell>
          <cell r="J8">
            <v>0.26700000000000002</v>
          </cell>
        </row>
        <row r="9">
          <cell r="C9">
            <v>-4.0629999999999997</v>
          </cell>
          <cell r="D9">
            <v>-12.6427494005663</v>
          </cell>
          <cell r="E9">
            <v>4.5162345382764499</v>
          </cell>
          <cell r="F9">
            <v>4.3689999999999998</v>
          </cell>
          <cell r="G9">
            <v>-0.93</v>
          </cell>
          <cell r="H9">
            <v>607.47</v>
          </cell>
          <cell r="I9">
            <v>0.35299999999999998</v>
          </cell>
          <cell r="J9">
            <v>0.43099999999999999</v>
          </cell>
        </row>
        <row r="10">
          <cell r="C10">
            <v>-2.0190000000000001</v>
          </cell>
          <cell r="D10">
            <v>-8.6991730733742596</v>
          </cell>
          <cell r="E10">
            <v>4.6607931810943404</v>
          </cell>
          <cell r="F10">
            <v>3.4009999999999998</v>
          </cell>
          <cell r="G10">
            <v>-0.59399999999999997</v>
          </cell>
          <cell r="H10">
            <v>608.59</v>
          </cell>
          <cell r="I10">
            <v>0.55300000000000005</v>
          </cell>
          <cell r="J10">
            <v>0.627</v>
          </cell>
        </row>
        <row r="11">
          <cell r="C11">
            <v>-17.905000000000001</v>
          </cell>
          <cell r="D11">
            <v>-40.173241334541203</v>
          </cell>
          <cell r="E11">
            <v>4.3636491167081601</v>
          </cell>
          <cell r="F11">
            <v>11.339</v>
          </cell>
          <cell r="G11">
            <v>-1.579</v>
          </cell>
          <cell r="H11">
            <v>605.26</v>
          </cell>
          <cell r="I11">
            <v>0.115</v>
          </cell>
          <cell r="J11">
            <v>0.16</v>
          </cell>
        </row>
        <row r="12">
          <cell r="C12">
            <v>-15.861000000000001</v>
          </cell>
          <cell r="D12">
            <v>-37.137151826048502</v>
          </cell>
          <cell r="E12">
            <v>5.41569007626219</v>
          </cell>
          <cell r="F12">
            <v>10.834</v>
          </cell>
          <cell r="G12">
            <v>-1.464</v>
          </cell>
          <cell r="H12">
            <v>608.38</v>
          </cell>
          <cell r="I12">
            <v>0.14399999999999999</v>
          </cell>
          <cell r="J12">
            <v>0.19500000000000001</v>
          </cell>
        </row>
        <row r="13">
          <cell r="C13">
            <v>2.044</v>
          </cell>
          <cell r="D13">
            <v>-6.4797959443461899</v>
          </cell>
          <cell r="E13">
            <v>10.5679236230505</v>
          </cell>
          <cell r="F13">
            <v>4.34</v>
          </cell>
          <cell r="G13">
            <v>0.47099999999999997</v>
          </cell>
          <cell r="H13">
            <v>609.01</v>
          </cell>
          <cell r="I13">
            <v>0.63800000000000001</v>
          </cell>
          <cell r="J13">
            <v>0.71699999999999997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-0.45100000000000001</v>
          </cell>
          <cell r="D2">
            <v>-6.1920653229988698</v>
          </cell>
          <cell r="E2">
            <v>5.2894011087549098</v>
          </cell>
          <cell r="F2">
            <v>2.923</v>
          </cell>
          <cell r="G2">
            <v>-0.154</v>
          </cell>
          <cell r="H2">
            <v>608.04</v>
          </cell>
          <cell r="I2">
            <v>0.877</v>
          </cell>
          <cell r="J2">
            <v>0.92800000000000005</v>
          </cell>
        </row>
        <row r="3">
          <cell r="C3">
            <v>-7.9000000000000001E-2</v>
          </cell>
          <cell r="D3">
            <v>-6.4355930497881104</v>
          </cell>
          <cell r="E3">
            <v>6.2766427277463697</v>
          </cell>
          <cell r="F3">
            <v>3.2370000000000001</v>
          </cell>
          <cell r="G3">
            <v>-2.5000000000000001E-2</v>
          </cell>
          <cell r="H3">
            <v>608.29</v>
          </cell>
          <cell r="I3">
            <v>0.98</v>
          </cell>
          <cell r="J3">
            <v>0.98399999999999999</v>
          </cell>
        </row>
        <row r="4">
          <cell r="C4">
            <v>-15.894</v>
          </cell>
          <cell r="D4">
            <v>-24.4634504601336</v>
          </cell>
          <cell r="E4">
            <v>-7.3249491108301799</v>
          </cell>
          <cell r="F4">
            <v>4.3630000000000004</v>
          </cell>
          <cell r="G4">
            <v>-3.6429999999999998</v>
          </cell>
          <cell r="H4">
            <v>610.35</v>
          </cell>
          <cell r="I4">
            <v>2.9E-4</v>
          </cell>
          <cell r="J4">
            <v>6.7000000000000002E-4</v>
          </cell>
          <cell r="K4" t="str">
            <v>p&lt;0.001</v>
          </cell>
        </row>
        <row r="5">
          <cell r="C5">
            <v>0.372</v>
          </cell>
          <cell r="D5">
            <v>-5.99640455897738</v>
          </cell>
          <cell r="E5">
            <v>6.7401184461608503</v>
          </cell>
          <cell r="F5">
            <v>3.2429999999999999</v>
          </cell>
          <cell r="G5">
            <v>0.115</v>
          </cell>
          <cell r="H5">
            <v>608.4</v>
          </cell>
          <cell r="I5">
            <v>0.90900000000000003</v>
          </cell>
          <cell r="J5">
            <v>0.93100000000000005</v>
          </cell>
        </row>
        <row r="6">
          <cell r="C6">
            <v>-15.443</v>
          </cell>
          <cell r="D6">
            <v>-24.026925119708402</v>
          </cell>
          <cell r="E6">
            <v>-6.8588102465743397</v>
          </cell>
          <cell r="F6">
            <v>4.3710000000000004</v>
          </cell>
          <cell r="G6">
            <v>-3.5329999999999999</v>
          </cell>
          <cell r="H6">
            <v>610.44000000000005</v>
          </cell>
          <cell r="I6">
            <v>4.4000000000000002E-4</v>
          </cell>
          <cell r="J6">
            <v>9.6000000000000002E-4</v>
          </cell>
          <cell r="K6" t="str">
            <v>p&lt;0.001</v>
          </cell>
        </row>
        <row r="7">
          <cell r="C7">
            <v>-15.815</v>
          </cell>
          <cell r="D7">
            <v>-24.6670214009829</v>
          </cell>
          <cell r="E7">
            <v>-6.96242784827054</v>
          </cell>
          <cell r="F7">
            <v>4.508</v>
          </cell>
          <cell r="G7">
            <v>-3.508</v>
          </cell>
          <cell r="H7">
            <v>610.03</v>
          </cell>
          <cell r="I7">
            <v>4.8000000000000001E-4</v>
          </cell>
          <cell r="J7">
            <v>1E-3</v>
          </cell>
          <cell r="K7" t="str">
            <v>p&lt;0.01</v>
          </cell>
        </row>
        <row r="8">
          <cell r="C8">
            <v>-49.881999999999998</v>
          </cell>
          <cell r="D8">
            <v>-82.044816438502707</v>
          </cell>
          <cell r="E8">
            <v>-17.7191099339265</v>
          </cell>
          <cell r="F8">
            <v>16.376999999999999</v>
          </cell>
          <cell r="G8">
            <v>-3.0459999999999998</v>
          </cell>
          <cell r="H8">
            <v>609.57000000000005</v>
          </cell>
          <cell r="I8">
            <v>2E-3</v>
          </cell>
          <cell r="J8">
            <v>4.0000000000000001E-3</v>
          </cell>
          <cell r="K8" t="str">
            <v>p&lt;0.01</v>
          </cell>
        </row>
        <row r="9">
          <cell r="C9">
            <v>-0.86099999999999999</v>
          </cell>
          <cell r="D9">
            <v>-13.6202478931702</v>
          </cell>
          <cell r="E9">
            <v>11.8983528620118</v>
          </cell>
          <cell r="F9">
            <v>6.4969999999999999</v>
          </cell>
          <cell r="G9">
            <v>-0.13300000000000001</v>
          </cell>
          <cell r="H9">
            <v>608.66999999999996</v>
          </cell>
          <cell r="I9">
            <v>0.89500000000000002</v>
          </cell>
          <cell r="J9">
            <v>0.93100000000000005</v>
          </cell>
        </row>
        <row r="10">
          <cell r="C10">
            <v>-0.60599999999999998</v>
          </cell>
          <cell r="D10">
            <v>-10.544624522024501</v>
          </cell>
          <cell r="E10">
            <v>9.3327365828932507</v>
          </cell>
          <cell r="F10">
            <v>5.0609999999999999</v>
          </cell>
          <cell r="G10">
            <v>-0.12</v>
          </cell>
          <cell r="H10">
            <v>609.58000000000004</v>
          </cell>
          <cell r="I10">
            <v>0.90500000000000003</v>
          </cell>
          <cell r="J10">
            <v>0.93100000000000005</v>
          </cell>
        </row>
        <row r="11">
          <cell r="C11">
            <v>49.021000000000001</v>
          </cell>
          <cell r="D11">
            <v>15.837034689771899</v>
          </cell>
          <cell r="E11">
            <v>82.204996663470496</v>
          </cell>
          <cell r="F11">
            <v>16.896999999999998</v>
          </cell>
          <cell r="G11">
            <v>2.9009999999999998</v>
          </cell>
          <cell r="H11">
            <v>609.64</v>
          </cell>
          <cell r="I11">
            <v>4.0000000000000001E-3</v>
          </cell>
          <cell r="J11">
            <v>7.0000000000000001E-3</v>
          </cell>
          <cell r="K11" t="str">
            <v>p&lt;0.01</v>
          </cell>
        </row>
        <row r="12">
          <cell r="C12">
            <v>49.276000000000003</v>
          </cell>
          <cell r="D12">
            <v>17.576636459691901</v>
          </cell>
          <cell r="E12">
            <v>80.975401982322097</v>
          </cell>
          <cell r="F12">
            <v>16.140999999999998</v>
          </cell>
          <cell r="G12">
            <v>3.0529999999999999</v>
          </cell>
          <cell r="H12">
            <v>609.27</v>
          </cell>
          <cell r="I12">
            <v>2E-3</v>
          </cell>
          <cell r="J12">
            <v>4.0000000000000001E-3</v>
          </cell>
          <cell r="K12" t="str">
            <v>p&lt;0.01</v>
          </cell>
        </row>
        <row r="13">
          <cell r="C13">
            <v>0.255</v>
          </cell>
          <cell r="D13">
            <v>-12.4304474503218</v>
          </cell>
          <cell r="E13">
            <v>12.940454542958699</v>
          </cell>
          <cell r="F13">
            <v>6.4589999999999996</v>
          </cell>
          <cell r="G13">
            <v>3.9E-2</v>
          </cell>
          <cell r="H13">
            <v>609.22</v>
          </cell>
          <cell r="I13">
            <v>0.96899999999999997</v>
          </cell>
          <cell r="J13">
            <v>0.98399999999999999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1.8919999999999999</v>
          </cell>
          <cell r="D2">
            <v>0.17709811757452401</v>
          </cell>
          <cell r="E2">
            <v>3.6066969554172599</v>
          </cell>
          <cell r="F2">
            <v>0.873</v>
          </cell>
          <cell r="G2">
            <v>2.1669999999999998</v>
          </cell>
          <cell r="H2">
            <v>603.55999999999995</v>
          </cell>
          <cell r="I2">
            <v>3.1E-2</v>
          </cell>
          <cell r="J2">
            <v>4.7E-2</v>
          </cell>
          <cell r="K2" t="str">
            <v>p&lt;0.05</v>
          </cell>
        </row>
        <row r="3">
          <cell r="C3">
            <v>0.38700000000000001</v>
          </cell>
          <cell r="D3">
            <v>-1.50479130580635</v>
          </cell>
          <cell r="E3">
            <v>2.2784829308040702</v>
          </cell>
          <cell r="F3">
            <v>0.96299999999999997</v>
          </cell>
          <cell r="G3">
            <v>0.40200000000000002</v>
          </cell>
          <cell r="H3">
            <v>604.34</v>
          </cell>
          <cell r="I3">
            <v>0.68799999999999994</v>
          </cell>
          <cell r="J3">
            <v>0.76600000000000001</v>
          </cell>
        </row>
        <row r="4">
          <cell r="C4">
            <v>5.3860000000000001</v>
          </cell>
          <cell r="D4">
            <v>2.8490543350187401</v>
          </cell>
          <cell r="E4">
            <v>7.92384892999487</v>
          </cell>
          <cell r="F4">
            <v>1.292</v>
          </cell>
          <cell r="G4">
            <v>4.17</v>
          </cell>
          <cell r="H4">
            <v>563.76</v>
          </cell>
          <cell r="I4">
            <v>3.4999999999999997E-5</v>
          </cell>
          <cell r="J4">
            <v>9.2999999999999997E-5</v>
          </cell>
          <cell r="K4" t="str">
            <v>p&lt;0.0001</v>
          </cell>
        </row>
        <row r="5">
          <cell r="C5">
            <v>-1.5049999999999999</v>
          </cell>
          <cell r="D5">
            <v>-3.3968102622060701</v>
          </cell>
          <cell r="E5">
            <v>0.38670682257675898</v>
          </cell>
          <cell r="F5">
            <v>0.96299999999999997</v>
          </cell>
          <cell r="G5">
            <v>-1.5620000000000001</v>
          </cell>
          <cell r="H5">
            <v>604.65</v>
          </cell>
          <cell r="I5">
            <v>0.11899999999999999</v>
          </cell>
          <cell r="J5">
            <v>0.16400000000000001</v>
          </cell>
        </row>
        <row r="6">
          <cell r="C6">
            <v>3.4950000000000001</v>
          </cell>
          <cell r="D6">
            <v>0.95469978089888397</v>
          </cell>
          <cell r="E6">
            <v>6.0344084463225203</v>
          </cell>
          <cell r="F6">
            <v>1.2929999999999999</v>
          </cell>
          <cell r="G6">
            <v>2.7029999999999998</v>
          </cell>
          <cell r="H6">
            <v>561</v>
          </cell>
          <cell r="I6">
            <v>7.0000000000000001E-3</v>
          </cell>
          <cell r="J6">
            <v>1.0999999999999999E-2</v>
          </cell>
          <cell r="K6" t="str">
            <v>p&lt;0.05</v>
          </cell>
        </row>
        <row r="7">
          <cell r="C7">
            <v>5</v>
          </cell>
          <cell r="D7">
            <v>2.3808364356331899</v>
          </cell>
          <cell r="E7">
            <v>7.6183752312346096</v>
          </cell>
          <cell r="F7">
            <v>1.333</v>
          </cell>
          <cell r="G7">
            <v>3.75</v>
          </cell>
          <cell r="H7">
            <v>570.86</v>
          </cell>
          <cell r="I7">
            <v>2.0000000000000001E-4</v>
          </cell>
          <cell r="J7">
            <v>4.8000000000000001E-4</v>
          </cell>
          <cell r="K7" t="str">
            <v>p&lt;0.001</v>
          </cell>
        </row>
        <row r="8">
          <cell r="C8">
            <v>-12.752000000000001</v>
          </cell>
          <cell r="D8">
            <v>-22.272931559968001</v>
          </cell>
          <cell r="E8">
            <v>-3.2302377475442099</v>
          </cell>
          <cell r="F8">
            <v>4.8479999999999999</v>
          </cell>
          <cell r="G8">
            <v>-2.63</v>
          </cell>
          <cell r="H8">
            <v>604.75</v>
          </cell>
          <cell r="I8">
            <v>8.9999999999999993E-3</v>
          </cell>
          <cell r="J8">
            <v>1.4E-2</v>
          </cell>
          <cell r="K8" t="str">
            <v>p&lt;0.05</v>
          </cell>
        </row>
        <row r="9">
          <cell r="C9">
            <v>18.257000000000001</v>
          </cell>
          <cell r="D9">
            <v>14.4605581076028</v>
          </cell>
          <cell r="E9">
            <v>22.052494506531001</v>
          </cell>
          <cell r="F9">
            <v>1.9330000000000001</v>
          </cell>
          <cell r="G9">
            <v>9.4450000000000003</v>
          </cell>
          <cell r="H9">
            <v>605.59</v>
          </cell>
          <cell r="I9">
            <v>7.5999999999999995E-20</v>
          </cell>
          <cell r="J9">
            <v>7.2999999999999997E-19</v>
          </cell>
          <cell r="K9" t="str">
            <v>p&lt;0.0001</v>
          </cell>
        </row>
        <row r="10">
          <cell r="C10">
            <v>5.12</v>
          </cell>
          <cell r="D10">
            <v>2.1647025898302799</v>
          </cell>
          <cell r="E10">
            <v>8.0744924661761406</v>
          </cell>
          <cell r="F10">
            <v>1.5049999999999999</v>
          </cell>
          <cell r="G10">
            <v>3.403</v>
          </cell>
          <cell r="H10">
            <v>608.32000000000005</v>
          </cell>
          <cell r="I10">
            <v>7.1000000000000002E-4</v>
          </cell>
          <cell r="J10">
            <v>1E-3</v>
          </cell>
          <cell r="K10" t="str">
            <v>p&lt;0.01</v>
          </cell>
        </row>
        <row r="11">
          <cell r="C11">
            <v>31.007999999999999</v>
          </cell>
          <cell r="D11">
            <v>21.187648843967501</v>
          </cell>
          <cell r="E11">
            <v>40.8285730661418</v>
          </cell>
          <cell r="F11">
            <v>5</v>
          </cell>
          <cell r="G11">
            <v>6.2009999999999996</v>
          </cell>
          <cell r="H11">
            <v>604.32000000000005</v>
          </cell>
          <cell r="I11">
            <v>1.0000000000000001E-9</v>
          </cell>
          <cell r="J11">
            <v>4.0000000000000002E-9</v>
          </cell>
          <cell r="K11" t="str">
            <v>p&lt;0.0001</v>
          </cell>
        </row>
        <row r="12">
          <cell r="C12">
            <v>17.870999999999999</v>
          </cell>
          <cell r="D12">
            <v>8.48309953830924</v>
          </cell>
          <cell r="E12">
            <v>27.259264812096799</v>
          </cell>
          <cell r="F12">
            <v>4.78</v>
          </cell>
          <cell r="G12">
            <v>3.738</v>
          </cell>
          <cell r="H12">
            <v>606.32000000000005</v>
          </cell>
          <cell r="I12">
            <v>2.0000000000000001E-4</v>
          </cell>
          <cell r="J12">
            <v>4.8000000000000001E-4</v>
          </cell>
          <cell r="K12" t="str">
            <v>p&lt;0.001</v>
          </cell>
        </row>
        <row r="13">
          <cell r="C13">
            <v>-13.137</v>
          </cell>
          <cell r="D13">
            <v>-16.898377372688699</v>
          </cell>
          <cell r="E13">
            <v>-9.3754801866966293</v>
          </cell>
          <cell r="F13">
            <v>1.915</v>
          </cell>
          <cell r="G13">
            <v>-6.859</v>
          </cell>
          <cell r="H13">
            <v>607.63</v>
          </cell>
          <cell r="I13">
            <v>1.6999999999999999E-11</v>
          </cell>
          <cell r="J13">
            <v>7.7000000000000006E-11</v>
          </cell>
          <cell r="K13" t="str">
            <v>p&lt;0.0001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86.793999999999997</v>
          </cell>
          <cell r="C2">
            <v>83.183735333271997</v>
          </cell>
          <cell r="D2">
            <v>90.404568231377397</v>
          </cell>
          <cell r="E2">
            <v>1.6619999999999999</v>
          </cell>
          <cell r="F2">
            <v>52.21</v>
          </cell>
          <cell r="G2">
            <v>12.36</v>
          </cell>
          <cell r="H2">
            <v>7.1E-16</v>
          </cell>
          <cell r="I2">
            <v>5.9999999999999997E-15</v>
          </cell>
          <cell r="J2" t="str">
            <v>p&lt;0.0001</v>
          </cell>
        </row>
        <row r="3">
          <cell r="B3">
            <v>87.263999999999996</v>
          </cell>
          <cell r="C3">
            <v>83.979921593540197</v>
          </cell>
          <cell r="D3">
            <v>90.547284948367306</v>
          </cell>
          <cell r="E3">
            <v>1.5129999999999999</v>
          </cell>
          <cell r="F3">
            <v>57.667000000000002</v>
          </cell>
          <cell r="G3">
            <v>12.46</v>
          </cell>
          <cell r="H3">
            <v>1.7E-16</v>
          </cell>
          <cell r="I3">
            <v>2.9000000000000002E-15</v>
          </cell>
          <cell r="J3" t="str">
            <v>p&lt;0.0001</v>
          </cell>
        </row>
        <row r="4">
          <cell r="B4">
            <v>87.325999999999993</v>
          </cell>
          <cell r="C4">
            <v>83.895222032976804</v>
          </cell>
          <cell r="D4">
            <v>90.757320110233593</v>
          </cell>
          <cell r="E4">
            <v>1.58</v>
          </cell>
          <cell r="F4">
            <v>55.283000000000001</v>
          </cell>
          <cell r="G4">
            <v>12.35</v>
          </cell>
          <cell r="H4">
            <v>3.5999999999999998E-16</v>
          </cell>
          <cell r="I4">
            <v>3.8000000000000002E-15</v>
          </cell>
          <cell r="J4" t="str">
            <v>p&lt;0.0001</v>
          </cell>
        </row>
        <row r="5">
          <cell r="B5">
            <v>88.405000000000001</v>
          </cell>
          <cell r="C5">
            <v>84.609277983035</v>
          </cell>
          <cell r="D5">
            <v>92.201485268814807</v>
          </cell>
          <cell r="E5">
            <v>1.7450000000000001</v>
          </cell>
          <cell r="F5">
            <v>50.655999999999999</v>
          </cell>
          <cell r="G5">
            <v>12.19</v>
          </cell>
          <cell r="H5">
            <v>1.4999999999999999E-15</v>
          </cell>
          <cell r="I5">
            <v>7.0000000000000001E-15</v>
          </cell>
          <cell r="J5" t="str">
            <v>p&lt;0.0001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-1.9490000000000001</v>
          </cell>
          <cell r="C2">
            <v>-6.1117594117146599</v>
          </cell>
          <cell r="D2">
            <v>2.2138289154357702</v>
          </cell>
          <cell r="E2">
            <v>1.86</v>
          </cell>
          <cell r="F2">
            <v>-1.048</v>
          </cell>
          <cell r="G2">
            <v>9.69</v>
          </cell>
          <cell r="H2">
            <v>0.32</v>
          </cell>
          <cell r="I2">
            <v>0.32800000000000001</v>
          </cell>
        </row>
        <row r="3">
          <cell r="B3">
            <v>-4.0419999999999998</v>
          </cell>
          <cell r="C3">
            <v>-8.3184683304519602</v>
          </cell>
          <cell r="D3">
            <v>0.234335674059166</v>
          </cell>
          <cell r="E3">
            <v>1.95</v>
          </cell>
          <cell r="F3">
            <v>-2.073</v>
          </cell>
          <cell r="G3">
            <v>11.34</v>
          </cell>
          <cell r="H3">
            <v>6.2E-2</v>
          </cell>
          <cell r="I3">
            <v>6.5000000000000002E-2</v>
          </cell>
        </row>
        <row r="4">
          <cell r="B4">
            <v>0.95799999999999996</v>
          </cell>
          <cell r="C4">
            <v>-3.18785071466518</v>
          </cell>
          <cell r="D4">
            <v>5.1034741533326198</v>
          </cell>
          <cell r="E4">
            <v>1.8420000000000001</v>
          </cell>
          <cell r="F4">
            <v>0.52</v>
          </cell>
          <cell r="G4">
            <v>9.33</v>
          </cell>
          <cell r="H4">
            <v>0.61499999999999999</v>
          </cell>
          <cell r="I4">
            <v>0.61499999999999999</v>
          </cell>
        </row>
        <row r="5">
          <cell r="B5">
            <v>3.121</v>
          </cell>
          <cell r="C5">
            <v>-1.1798261362714799</v>
          </cell>
          <cell r="D5">
            <v>7.4218921454628797</v>
          </cell>
          <cell r="E5">
            <v>1.966</v>
          </cell>
          <cell r="F5">
            <v>1.5880000000000001</v>
          </cell>
          <cell r="G5">
            <v>11.56</v>
          </cell>
          <cell r="H5">
            <v>0.13900000000000001</v>
          </cell>
          <cell r="I5">
            <v>0.14399999999999999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no_phonology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-0.42399999999999999</v>
          </cell>
          <cell r="C2">
            <v>-2.0388500774625702</v>
          </cell>
          <cell r="D2">
            <v>1.19087341407404</v>
          </cell>
          <cell r="E2">
            <v>0.73699999999999999</v>
          </cell>
          <cell r="F2">
            <v>-0.57499999999999996</v>
          </cell>
          <cell r="G2">
            <v>11.46</v>
          </cell>
          <cell r="H2">
            <v>0.57599999999999996</v>
          </cell>
          <cell r="I2">
            <v>0.58299999999999996</v>
          </cell>
        </row>
        <row r="3">
          <cell r="B3">
            <v>-2.8490000000000002</v>
          </cell>
          <cell r="C3">
            <v>-4.8371292842892704</v>
          </cell>
          <cell r="D3">
            <v>-0.86092869874570399</v>
          </cell>
          <cell r="E3">
            <v>0.90500000000000003</v>
          </cell>
          <cell r="F3">
            <v>-3.149</v>
          </cell>
          <cell r="G3">
            <v>11.15</v>
          </cell>
          <cell r="H3">
            <v>8.9999999999999993E-3</v>
          </cell>
          <cell r="I3">
            <v>0.01</v>
          </cell>
          <cell r="J3" t="str">
            <v>p&lt;0.01</v>
          </cell>
        </row>
        <row r="4">
          <cell r="B4">
            <v>3.1259999999999999</v>
          </cell>
          <cell r="C4">
            <v>1.5929891966334999</v>
          </cell>
          <cell r="D4">
            <v>4.6583189993808896</v>
          </cell>
          <cell r="E4">
            <v>0.7</v>
          </cell>
          <cell r="F4">
            <v>4.4630000000000001</v>
          </cell>
          <cell r="G4">
            <v>11.55</v>
          </cell>
          <cell r="H4">
            <v>8.4999999999999995E-4</v>
          </cell>
          <cell r="I4">
            <v>1E-3</v>
          </cell>
          <cell r="J4" t="str">
            <v>p&lt;0.01</v>
          </cell>
        </row>
        <row r="5">
          <cell r="B5">
            <v>6.19</v>
          </cell>
          <cell r="C5">
            <v>3.7877391950621901</v>
          </cell>
          <cell r="D5">
            <v>8.5923685128481093</v>
          </cell>
          <cell r="E5">
            <v>1.0900000000000001</v>
          </cell>
          <cell r="F5">
            <v>5.6779999999999999</v>
          </cell>
          <cell r="G5">
            <v>10.9</v>
          </cell>
          <cell r="H5">
            <v>1.4999999999999999E-4</v>
          </cell>
          <cell r="I5">
            <v>2.3000000000000001E-4</v>
          </cell>
          <cell r="J5" t="str">
            <v>p&lt;0.001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2">
          <cell r="C2">
            <v>0.46899999999999997</v>
          </cell>
          <cell r="D2">
            <v>-0.22800809788462301</v>
          </cell>
          <cell r="E2">
            <v>1.16691223729475</v>
          </cell>
          <cell r="F2">
            <v>0.313</v>
          </cell>
          <cell r="G2">
            <v>1.4990000000000001</v>
          </cell>
          <cell r="H2">
            <v>10.06</v>
          </cell>
          <cell r="I2">
            <v>0.16500000000000001</v>
          </cell>
          <cell r="J2">
            <v>0.218</v>
          </cell>
        </row>
        <row r="3">
          <cell r="C3">
            <v>0.53200000000000003</v>
          </cell>
          <cell r="D3">
            <v>7.3813273986569797E-2</v>
          </cell>
          <cell r="E3">
            <v>0.99043054836575695</v>
          </cell>
          <cell r="F3">
            <v>0.20699999999999999</v>
          </cell>
          <cell r="G3">
            <v>2.5659999999999998</v>
          </cell>
          <cell r="H3">
            <v>10.63</v>
          </cell>
          <cell r="I3">
            <v>2.7E-2</v>
          </cell>
          <cell r="J3">
            <v>4.2000000000000003E-2</v>
          </cell>
          <cell r="K3" t="str">
            <v>p&lt;0.05</v>
          </cell>
        </row>
        <row r="4">
          <cell r="C4">
            <v>1.611</v>
          </cell>
          <cell r="D4">
            <v>0.74795525994970802</v>
          </cell>
          <cell r="E4">
            <v>2.4745315263488998</v>
          </cell>
          <cell r="F4">
            <v>0.39300000000000002</v>
          </cell>
          <cell r="G4">
            <v>4.0960000000000001</v>
          </cell>
          <cell r="H4">
            <v>11.26</v>
          </cell>
          <cell r="I4">
            <v>2E-3</v>
          </cell>
          <cell r="J4">
            <v>4.0000000000000001E-3</v>
          </cell>
          <cell r="K4" t="str">
            <v>p&lt;0.01</v>
          </cell>
        </row>
        <row r="5">
          <cell r="C5">
            <v>6.3E-2</v>
          </cell>
          <cell r="D5">
            <v>-0.47452675858097398</v>
          </cell>
          <cell r="E5">
            <v>0.59986469357665495</v>
          </cell>
          <cell r="F5">
            <v>0.24299999999999999</v>
          </cell>
          <cell r="G5">
            <v>0.25800000000000001</v>
          </cell>
          <cell r="H5">
            <v>10.59</v>
          </cell>
          <cell r="I5">
            <v>0.80100000000000005</v>
          </cell>
          <cell r="J5">
            <v>0.879</v>
          </cell>
        </row>
        <row r="6">
          <cell r="C6">
            <v>1.1419999999999999</v>
          </cell>
          <cell r="D6">
            <v>-0.153117733840856</v>
          </cell>
          <cell r="E6">
            <v>2.4366962216536301</v>
          </cell>
          <cell r="F6">
            <v>0.58499999999999996</v>
          </cell>
          <cell r="G6">
            <v>1.9510000000000001</v>
          </cell>
          <cell r="H6">
            <v>10.56</v>
          </cell>
          <cell r="I6">
            <v>7.8E-2</v>
          </cell>
          <cell r="J6">
            <v>0.11</v>
          </cell>
        </row>
        <row r="7">
          <cell r="C7">
            <v>1.079</v>
          </cell>
          <cell r="D7">
            <v>-4.86078358637431E-2</v>
          </cell>
          <cell r="E7">
            <v>2.2068583933924799</v>
          </cell>
          <cell r="F7">
            <v>0.50700000000000001</v>
          </cell>
          <cell r="G7">
            <v>2.1269999999999998</v>
          </cell>
          <cell r="H7">
            <v>10.17</v>
          </cell>
          <cell r="I7">
            <v>5.8999999999999997E-2</v>
          </cell>
          <cell r="J7">
            <v>8.6999999999999994E-2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0.96083371545006302</v>
          </cell>
        </row>
        <row r="3">
          <cell r="B3">
            <v>1.2545781673086001E-2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-2.093</v>
          </cell>
          <cell r="D2">
            <v>-4.8500048198338899</v>
          </cell>
          <cell r="E2">
            <v>0.66381613021775598</v>
          </cell>
          <cell r="F2">
            <v>1.2390000000000001</v>
          </cell>
          <cell r="G2">
            <v>-1.6890000000000001</v>
          </cell>
          <cell r="H2">
            <v>10.11</v>
          </cell>
          <cell r="I2">
            <v>0.122</v>
          </cell>
          <cell r="J2">
            <v>0.16700000000000001</v>
          </cell>
        </row>
        <row r="3">
          <cell r="C3">
            <v>2.907</v>
          </cell>
          <cell r="D3">
            <v>1.2891062804668101</v>
          </cell>
          <cell r="E3">
            <v>4.5244332348265397</v>
          </cell>
          <cell r="F3">
            <v>0.72699999999999998</v>
          </cell>
          <cell r="G3">
            <v>3.9969999999999999</v>
          </cell>
          <cell r="H3">
            <v>10.119999999999999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5.07</v>
          </cell>
          <cell r="D4">
            <v>3.0169488394014401</v>
          </cell>
          <cell r="E4">
            <v>7.1230429774581703</v>
          </cell>
          <cell r="F4">
            <v>0.93</v>
          </cell>
          <cell r="G4">
            <v>5.4489999999999998</v>
          </cell>
          <cell r="H4">
            <v>10.78</v>
          </cell>
          <cell r="I4">
            <v>2.2000000000000001E-4</v>
          </cell>
          <cell r="J4">
            <v>5.1999999999999995E-4</v>
          </cell>
          <cell r="K4" t="str">
            <v>p&lt;0.001</v>
          </cell>
        </row>
        <row r="5">
          <cell r="C5">
            <v>5</v>
          </cell>
          <cell r="D5">
            <v>2.0744151301770501</v>
          </cell>
          <cell r="E5">
            <v>7.9253164313353501</v>
          </cell>
          <cell r="F5">
            <v>1.3169999999999999</v>
          </cell>
          <cell r="G5">
            <v>3.7959999999999998</v>
          </cell>
          <cell r="H5">
            <v>10.24</v>
          </cell>
          <cell r="I5">
            <v>3.0000000000000001E-3</v>
          </cell>
          <cell r="J5">
            <v>5.0000000000000001E-3</v>
          </cell>
          <cell r="K5" t="str">
            <v>p&lt;0.01</v>
          </cell>
        </row>
        <row r="6">
          <cell r="C6">
            <v>7.1630000000000003</v>
          </cell>
          <cell r="D6">
            <v>3.63149587483408</v>
          </cell>
          <cell r="E6">
            <v>10.694690908964599</v>
          </cell>
          <cell r="F6">
            <v>1.593</v>
          </cell>
          <cell r="G6">
            <v>4.4950000000000001</v>
          </cell>
          <cell r="H6">
            <v>10.41</v>
          </cell>
          <cell r="I6">
            <v>1E-3</v>
          </cell>
          <cell r="J6">
            <v>2E-3</v>
          </cell>
          <cell r="K6" t="str">
            <v>p&lt;0.01</v>
          </cell>
        </row>
        <row r="7">
          <cell r="C7">
            <v>2.1629999999999998</v>
          </cell>
          <cell r="D7">
            <v>0.87233269943435898</v>
          </cell>
          <cell r="E7">
            <v>3.4541186027926698</v>
          </cell>
          <cell r="F7">
            <v>0.57799999999999996</v>
          </cell>
          <cell r="G7">
            <v>3.74</v>
          </cell>
          <cell r="H7">
            <v>9.8699999999999992</v>
          </cell>
          <cell r="I7">
            <v>4.0000000000000001E-3</v>
          </cell>
          <cell r="J7">
            <v>7.0000000000000001E-3</v>
          </cell>
          <cell r="K7" t="str">
            <v>p&lt;0.01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0.91258286194614602</v>
          </cell>
        </row>
        <row r="3">
          <cell r="B3">
            <v>0.26953753570664701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0.85446438419230797</v>
          </cell>
        </row>
        <row r="3">
          <cell r="B3">
            <v>9.8314637587148292E-3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no_phonology_b1"/>
    </sheetNames>
    <sheetDataSet>
      <sheetData sheetId="0">
        <row r="1"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-2.4249999999999998</v>
          </cell>
          <cell r="D2">
            <v>-5.1648506748671297</v>
          </cell>
          <cell r="E2">
            <v>0.31476883778365999</v>
          </cell>
          <cell r="F2">
            <v>1.23</v>
          </cell>
          <cell r="G2">
            <v>-1.972</v>
          </cell>
          <cell r="H2">
            <v>9.99</v>
          </cell>
          <cell r="I2">
            <v>7.6999999999999999E-2</v>
          </cell>
          <cell r="J2">
            <v>0.11</v>
          </cell>
        </row>
        <row r="3">
          <cell r="C3">
            <v>3.55</v>
          </cell>
          <cell r="D3">
            <v>1.68861578034655</v>
          </cell>
          <cell r="E3">
            <v>5.4106698103847899</v>
          </cell>
          <cell r="F3">
            <v>0.83499999999999996</v>
          </cell>
          <cell r="G3">
            <v>4.2510000000000003</v>
          </cell>
          <cell r="H3">
            <v>9.99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6.6139999999999999</v>
          </cell>
          <cell r="D4">
            <v>4.0422738277759702</v>
          </cell>
          <cell r="E4">
            <v>9.1858107901548003</v>
          </cell>
          <cell r="F4">
            <v>1.1559999999999999</v>
          </cell>
          <cell r="G4">
            <v>5.7240000000000002</v>
          </cell>
          <cell r="H4">
            <v>10.08</v>
          </cell>
          <cell r="I4">
            <v>1.9000000000000001E-4</v>
          </cell>
          <cell r="J4">
            <v>4.6999999999999999E-4</v>
          </cell>
          <cell r="K4" t="str">
            <v>p&lt;0.001</v>
          </cell>
        </row>
        <row r="5">
          <cell r="C5">
            <v>5.9749999999999996</v>
          </cell>
          <cell r="D5">
            <v>2.8009805410186699</v>
          </cell>
          <cell r="E5">
            <v>9.1483861911875906</v>
          </cell>
          <cell r="F5">
            <v>1.4239999999999999</v>
          </cell>
          <cell r="G5">
            <v>4.1950000000000003</v>
          </cell>
          <cell r="H5">
            <v>10</v>
          </cell>
          <cell r="I5">
            <v>2E-3</v>
          </cell>
          <cell r="J5">
            <v>4.0000000000000001E-3</v>
          </cell>
          <cell r="K5" t="str">
            <v>p&lt;0.01</v>
          </cell>
        </row>
        <row r="6">
          <cell r="C6">
            <v>9.0389999999999997</v>
          </cell>
          <cell r="D6">
            <v>5.1135217823264796</v>
          </cell>
          <cell r="E6">
            <v>12.964643526771599</v>
          </cell>
          <cell r="F6">
            <v>1.762</v>
          </cell>
          <cell r="G6">
            <v>5.1289999999999996</v>
          </cell>
          <cell r="H6">
            <v>10.029999999999999</v>
          </cell>
          <cell r="I6">
            <v>4.4000000000000002E-4</v>
          </cell>
          <cell r="J6">
            <v>9.6000000000000002E-4</v>
          </cell>
          <cell r="K6" t="str">
            <v>p&lt;0.001</v>
          </cell>
        </row>
        <row r="7">
          <cell r="C7">
            <v>3.0640000000000001</v>
          </cell>
          <cell r="D7">
            <v>1.2156559704579</v>
          </cell>
          <cell r="E7">
            <v>4.9131421564923397</v>
          </cell>
          <cell r="F7">
            <v>0.82799999999999996</v>
          </cell>
          <cell r="G7">
            <v>3.6989999999999998</v>
          </cell>
          <cell r="H7">
            <v>9.89</v>
          </cell>
          <cell r="I7">
            <v>4.0000000000000001E-3</v>
          </cell>
          <cell r="J7">
            <v>7.0000000000000001E-3</v>
          </cell>
          <cell r="K7" t="str">
            <v>p&lt;0.01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no_phonology_r2"/>
    </sheetNames>
    <sheetDataSet>
      <sheetData sheetId="0">
        <row r="2">
          <cell r="B2">
            <v>0.82651743401007005</v>
          </cell>
        </row>
        <row r="3">
          <cell r="B3">
            <v>0.50064598788705905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B2">
            <v>66.206999999999994</v>
          </cell>
          <cell r="C2">
            <v>43.514616892347199</v>
          </cell>
          <cell r="D2">
            <v>88.899362418405701</v>
          </cell>
          <cell r="E2">
            <v>10.45</v>
          </cell>
          <cell r="F2">
            <v>6.3360000000000003</v>
          </cell>
          <cell r="G2">
            <v>12.38</v>
          </cell>
          <cell r="H2">
            <v>3.3000000000000003E-5</v>
          </cell>
          <cell r="I2">
            <v>5.3000000000000001E-5</v>
          </cell>
          <cell r="J2" t="str">
            <v>p&lt;0.0001</v>
          </cell>
        </row>
        <row r="3">
          <cell r="B3">
            <v>66.611000000000004</v>
          </cell>
          <cell r="C3">
            <v>43.916594525232803</v>
          </cell>
          <cell r="D3">
            <v>89.304848267984895</v>
          </cell>
          <cell r="E3">
            <v>10.451000000000001</v>
          </cell>
          <cell r="F3">
            <v>6.3730000000000002</v>
          </cell>
          <cell r="G3">
            <v>12.38</v>
          </cell>
          <cell r="H3">
            <v>3.1000000000000001E-5</v>
          </cell>
          <cell r="I3">
            <v>5.1E-5</v>
          </cell>
          <cell r="J3" t="str">
            <v>p&lt;0.0001</v>
          </cell>
        </row>
        <row r="4">
          <cell r="B4">
            <v>63.911999999999999</v>
          </cell>
          <cell r="C4">
            <v>41.242903273445002</v>
          </cell>
          <cell r="D4">
            <v>86.580525272490505</v>
          </cell>
          <cell r="E4">
            <v>10.433</v>
          </cell>
          <cell r="F4">
            <v>6.1260000000000003</v>
          </cell>
          <cell r="G4">
            <v>12.3</v>
          </cell>
          <cell r="H4">
            <v>4.6E-5</v>
          </cell>
          <cell r="I4">
            <v>7.2999999999999999E-5</v>
          </cell>
          <cell r="J4" t="str">
            <v>p&lt;0.0001</v>
          </cell>
        </row>
        <row r="5">
          <cell r="B5">
            <v>45.158999999999999</v>
          </cell>
          <cell r="C5">
            <v>22.545726930497</v>
          </cell>
          <cell r="D5">
            <v>67.771491195103906</v>
          </cell>
          <cell r="E5">
            <v>10.391999999999999</v>
          </cell>
          <cell r="F5">
            <v>4.3460000000000001</v>
          </cell>
          <cell r="G5">
            <v>12.14</v>
          </cell>
          <cell r="H5">
            <v>9.3000000000000005E-4</v>
          </cell>
          <cell r="I5">
            <v>1E-3</v>
          </cell>
          <cell r="J5" t="str">
            <v>p&lt;0.01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267.09500000000003</v>
          </cell>
          <cell r="C2">
            <v>186.65039216949501</v>
          </cell>
          <cell r="D2">
            <v>347.53945100447299</v>
          </cell>
          <cell r="E2">
            <v>31.193000000000001</v>
          </cell>
          <cell r="F2">
            <v>8.5630000000000006</v>
          </cell>
          <cell r="G2">
            <v>4.95</v>
          </cell>
          <cell r="H2">
            <v>3.8000000000000002E-4</v>
          </cell>
          <cell r="I2">
            <v>5.4000000000000001E-4</v>
          </cell>
          <cell r="J2" t="str">
            <v>p&lt;0.001</v>
          </cell>
        </row>
        <row r="3">
          <cell r="B3">
            <v>266.72199999999998</v>
          </cell>
          <cell r="C3">
            <v>186.278721708294</v>
          </cell>
          <cell r="D3">
            <v>347.16607047559103</v>
          </cell>
          <cell r="E3">
            <v>31.195</v>
          </cell>
          <cell r="F3">
            <v>8.5500000000000007</v>
          </cell>
          <cell r="G3">
            <v>4.95</v>
          </cell>
          <cell r="H3">
            <v>3.8000000000000002E-4</v>
          </cell>
          <cell r="I3">
            <v>5.4000000000000001E-4</v>
          </cell>
          <cell r="J3" t="str">
            <v>p&lt;0.001</v>
          </cell>
        </row>
        <row r="4">
          <cell r="B4">
            <v>264.61700000000002</v>
          </cell>
          <cell r="C4">
            <v>184.165229815256</v>
          </cell>
          <cell r="D4">
            <v>345.06958318293903</v>
          </cell>
          <cell r="E4">
            <v>31.178999999999998</v>
          </cell>
          <cell r="F4">
            <v>8.4870000000000001</v>
          </cell>
          <cell r="G4">
            <v>4.9400000000000004</v>
          </cell>
          <cell r="H4">
            <v>4.0000000000000002E-4</v>
          </cell>
          <cell r="I4">
            <v>5.5999999999999995E-4</v>
          </cell>
          <cell r="J4" t="str">
            <v>p&lt;0.001</v>
          </cell>
        </row>
        <row r="5">
          <cell r="B5">
            <v>250.261</v>
          </cell>
          <cell r="C5">
            <v>169.79078240875299</v>
          </cell>
          <cell r="D5">
            <v>330.73051939626401</v>
          </cell>
          <cell r="E5">
            <v>31.146000000000001</v>
          </cell>
          <cell r="F5">
            <v>8.0350000000000001</v>
          </cell>
          <cell r="G5">
            <v>4.92</v>
          </cell>
          <cell r="H5">
            <v>5.1999999999999995E-4</v>
          </cell>
          <cell r="I5">
            <v>6.4999999999999997E-4</v>
          </cell>
          <cell r="J5" t="str">
            <v>p&lt;0.001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84.262</v>
          </cell>
          <cell r="C2">
            <v>80.634898090073094</v>
          </cell>
          <cell r="D2">
            <v>87.889521622177298</v>
          </cell>
          <cell r="E2">
            <v>1.657</v>
          </cell>
          <cell r="F2">
            <v>50.838000000000001</v>
          </cell>
          <cell r="G2">
            <v>11.54</v>
          </cell>
          <cell r="H2">
            <v>6.1999999999999998E-15</v>
          </cell>
          <cell r="I2">
            <v>2E-14</v>
          </cell>
          <cell r="J2" t="str">
            <v>p&lt;0.0001</v>
          </cell>
        </row>
        <row r="3">
          <cell r="B3">
            <v>84.387</v>
          </cell>
          <cell r="C3">
            <v>80.759157436588893</v>
          </cell>
          <cell r="D3">
            <v>88.013981670640902</v>
          </cell>
          <cell r="E3">
            <v>1.6579999999999999</v>
          </cell>
          <cell r="F3">
            <v>50.911000000000001</v>
          </cell>
          <cell r="G3">
            <v>11.54</v>
          </cell>
          <cell r="H3">
            <v>5.9999999999999997E-15</v>
          </cell>
          <cell r="I3">
            <v>2E-14</v>
          </cell>
          <cell r="J3" t="str">
            <v>p&lt;0.0001</v>
          </cell>
        </row>
        <row r="4">
          <cell r="B4">
            <v>85.884</v>
          </cell>
          <cell r="C4">
            <v>82.257315012199697</v>
          </cell>
          <cell r="D4">
            <v>89.509953450877504</v>
          </cell>
          <cell r="E4">
            <v>1.657</v>
          </cell>
          <cell r="F4">
            <v>51.843000000000004</v>
          </cell>
          <cell r="G4">
            <v>11.52</v>
          </cell>
          <cell r="H4">
            <v>5.2000000000000001E-15</v>
          </cell>
          <cell r="I4">
            <v>1.7999999999999999E-14</v>
          </cell>
          <cell r="J4" t="str">
            <v>p&lt;0.0001</v>
          </cell>
        </row>
        <row r="5">
          <cell r="B5">
            <v>86.745000000000005</v>
          </cell>
          <cell r="C5">
            <v>83.120559517265207</v>
          </cell>
          <cell r="D5">
            <v>90.369299039297601</v>
          </cell>
          <cell r="E5">
            <v>1.655</v>
          </cell>
          <cell r="F5">
            <v>52.414000000000001</v>
          </cell>
          <cell r="G5">
            <v>11.47</v>
          </cell>
          <cell r="H5">
            <v>5.1E-15</v>
          </cell>
          <cell r="I5">
            <v>1.7999999999999999E-14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90.093999999999994</v>
          </cell>
          <cell r="C2">
            <v>86.076363660855506</v>
          </cell>
          <cell r="D2">
            <v>94.112041878367805</v>
          </cell>
          <cell r="E2">
            <v>1.78</v>
          </cell>
          <cell r="F2">
            <v>50.613</v>
          </cell>
          <cell r="G2">
            <v>9.1300000000000008</v>
          </cell>
          <cell r="H2">
            <v>1.7E-12</v>
          </cell>
          <cell r="I2">
            <v>3.8999999999999999E-12</v>
          </cell>
          <cell r="J2" t="str">
            <v>p&lt;0.0001</v>
          </cell>
        </row>
        <row r="3">
          <cell r="B3">
            <v>90.501000000000005</v>
          </cell>
          <cell r="C3">
            <v>86.482542607305106</v>
          </cell>
          <cell r="D3">
            <v>94.518498929950795</v>
          </cell>
          <cell r="E3">
            <v>1.78</v>
          </cell>
          <cell r="F3">
            <v>50.837000000000003</v>
          </cell>
          <cell r="G3">
            <v>9.14</v>
          </cell>
          <cell r="H3">
            <v>1.6E-12</v>
          </cell>
          <cell r="I3">
            <v>3.7E-12</v>
          </cell>
          <cell r="J3" t="str">
            <v>p&lt;0.0001</v>
          </cell>
        </row>
        <row r="4">
          <cell r="B4">
            <v>91.813000000000002</v>
          </cell>
          <cell r="C4">
            <v>87.796729947601094</v>
          </cell>
          <cell r="D4">
            <v>95.829644685119007</v>
          </cell>
          <cell r="E4">
            <v>1.7789999999999999</v>
          </cell>
          <cell r="F4">
            <v>51.621000000000002</v>
          </cell>
          <cell r="G4">
            <v>9.1</v>
          </cell>
          <cell r="H4">
            <v>1.5000000000000001E-12</v>
          </cell>
          <cell r="I4">
            <v>3.6E-12</v>
          </cell>
          <cell r="J4" t="str">
            <v>p&lt;0.0001</v>
          </cell>
        </row>
        <row r="5">
          <cell r="B5">
            <v>94.606999999999999</v>
          </cell>
          <cell r="C5">
            <v>90.593224015084004</v>
          </cell>
          <cell r="D5">
            <v>98.620264099471996</v>
          </cell>
          <cell r="E5">
            <v>1.776</v>
          </cell>
          <cell r="F5">
            <v>53.283999999999999</v>
          </cell>
          <cell r="G5">
            <v>9.0399999999999991</v>
          </cell>
          <cell r="H5">
            <v>1.2999999999999999E-12</v>
          </cell>
          <cell r="I5">
            <v>3.2000000000000001E-12</v>
          </cell>
          <cell r="J5" t="str">
            <v>p&lt;0.0001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0.124</v>
          </cell>
          <cell r="D2">
            <v>-0.18642056809001101</v>
          </cell>
          <cell r="E2">
            <v>0.43513996167241198</v>
          </cell>
          <cell r="F2">
            <v>0.158</v>
          </cell>
          <cell r="G2">
            <v>0.78600000000000003</v>
          </cell>
          <cell r="H2">
            <v>610.99</v>
          </cell>
          <cell r="I2">
            <v>0.432</v>
          </cell>
          <cell r="J2">
            <v>0.51300000000000001</v>
          </cell>
        </row>
        <row r="3">
          <cell r="C3">
            <v>1.621</v>
          </cell>
          <cell r="D3">
            <v>1.3093786725876499</v>
          </cell>
          <cell r="E3">
            <v>1.93347007743885</v>
          </cell>
          <cell r="F3">
            <v>0.159</v>
          </cell>
          <cell r="G3">
            <v>10.204000000000001</v>
          </cell>
          <cell r="H3">
            <v>611.13</v>
          </cell>
          <cell r="I3">
            <v>1.1E-22</v>
          </cell>
          <cell r="J3">
            <v>1.4E-21</v>
          </cell>
          <cell r="K3" t="str">
            <v>p&lt;0.0001</v>
          </cell>
        </row>
        <row r="4">
          <cell r="C4">
            <v>2.4830000000000001</v>
          </cell>
          <cell r="D4">
            <v>2.1459478628906798</v>
          </cell>
          <cell r="E4">
            <v>2.8194909812434901</v>
          </cell>
          <cell r="F4">
            <v>0.17100000000000001</v>
          </cell>
          <cell r="G4">
            <v>14.478</v>
          </cell>
          <cell r="H4">
            <v>612.80999999999995</v>
          </cell>
          <cell r="I4">
            <v>4.5000000000000001E-41</v>
          </cell>
          <cell r="J4">
            <v>1.9000000000000001E-39</v>
          </cell>
          <cell r="K4" t="str">
            <v>p&lt;0.0001</v>
          </cell>
        </row>
        <row r="5">
          <cell r="C5">
            <v>1.4970000000000001</v>
          </cell>
          <cell r="D5">
            <v>1.1854525270521099</v>
          </cell>
          <cell r="E5">
            <v>1.80867682923135</v>
          </cell>
          <cell r="F5">
            <v>0.159</v>
          </cell>
          <cell r="G5">
            <v>9.4350000000000005</v>
          </cell>
          <cell r="H5">
            <v>611.16</v>
          </cell>
          <cell r="I5">
            <v>8.1000000000000005E-20</v>
          </cell>
          <cell r="J5">
            <v>7.2999999999999997E-19</v>
          </cell>
          <cell r="K5" t="str">
            <v>p&lt;0.0001</v>
          </cell>
        </row>
        <row r="6">
          <cell r="C6">
            <v>2.3580000000000001</v>
          </cell>
          <cell r="D6">
            <v>2.0209588077641998</v>
          </cell>
          <cell r="E6">
            <v>2.6957606420667402</v>
          </cell>
          <cell r="F6">
            <v>0.17199999999999999</v>
          </cell>
          <cell r="G6">
            <v>13.727</v>
          </cell>
          <cell r="H6">
            <v>612.86</v>
          </cell>
          <cell r="I6">
            <v>1.4000000000000001E-37</v>
          </cell>
          <cell r="J6">
            <v>4.3999999999999999E-36</v>
          </cell>
          <cell r="K6" t="str">
            <v>p&lt;0.0001</v>
          </cell>
        </row>
        <row r="7">
          <cell r="C7">
            <v>0.86099999999999999</v>
          </cell>
          <cell r="D7">
            <v>0.53228450758934498</v>
          </cell>
          <cell r="E7">
            <v>1.19030558605054</v>
          </cell>
          <cell r="F7">
            <v>0.16800000000000001</v>
          </cell>
          <cell r="G7">
            <v>5.141</v>
          </cell>
          <cell r="H7">
            <v>612.36</v>
          </cell>
          <cell r="I7">
            <v>3.7E-7</v>
          </cell>
          <cell r="J7">
            <v>1.1999999999999999E-6</v>
          </cell>
          <cell r="K7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0FEB-AAE2-4C78-B2BA-A97B5D9D7141}" name="Table13" displayName="Table13" ref="A36:K40" totalsRowShown="0" headerRowDxfId="468" dataDxfId="466" headerRowBorderDxfId="467" tableBorderDxfId="465" totalsRowBorderDxfId="464">
  <autoFilter ref="A36:K40" xr:uid="{D3980010-2201-43EF-9941-5D34E4A5CF0F}"/>
  <tableColumns count="11">
    <tableColumn id="1" xr3:uid="{48EA7560-AFDA-4976-872C-A62413C27C30}" name="Predictors" dataDxfId="463">
      <calculatedColumnFormula>Table510[[#This Row],[Predictors]]</calculatedColumnFormula>
    </tableColumn>
    <tableColumn id="2" xr3:uid="{B74BAF5A-A8B1-41AC-AA5C-9C7F4D3C00F5}" name="estimate" dataDxfId="462">
      <calculatedColumnFormula>[7]Mode_l_f0_b0!B2</calculatedColumnFormula>
    </tableColumn>
    <tableColumn id="6" xr3:uid="{25F0D2CD-4553-4F0F-A005-7B069A4DF146}" name="2.5% CI" dataDxfId="461">
      <calculatedColumnFormula>[7]Mode_l_f0_b0!C2</calculatedColumnFormula>
    </tableColumn>
    <tableColumn id="5" xr3:uid="{5C65DEBD-594B-4030-A893-0F5416AC8463}" name="97.5% CI" dataDxfId="460">
      <calculatedColumnFormula>[7]Mode_l_f0_b0!D2</calculatedColumnFormula>
    </tableColumn>
    <tableColumn id="4" xr3:uid="{E8CB2113-1504-4E4A-8C69-95B41702801D}" name="std.error" dataDxfId="459">
      <calculatedColumnFormula>[7]Mode_l_f0_b0!E2</calculatedColumnFormula>
    </tableColumn>
    <tableColumn id="9" xr3:uid="{3685B48B-FD8D-45C1-BDB3-A8E961B16560}" name="z.value" dataDxfId="458">
      <calculatedColumnFormula>[7]Mode_l_f0_b0!F2</calculatedColumnFormula>
    </tableColumn>
    <tableColumn id="7" xr3:uid="{82530BA9-A214-4E3F-8B7C-1C9D8230702E}" name="df" dataDxfId="457">
      <calculatedColumnFormula>[7]Mode_l_f0_b0!G2</calculatedColumnFormula>
    </tableColumn>
    <tableColumn id="3" xr3:uid="{13FC0C8F-F83E-4E94-AE8C-72CF30BBE373}" name="p.value" dataDxfId="456">
      <calculatedColumnFormula>[7]Mode_l_f0_b0!H2</calculatedColumnFormula>
    </tableColumn>
    <tableColumn id="10" xr3:uid="{11A56334-4561-4E93-921F-E06200DE80A2}" name="p.adj (BH)" dataDxfId="455">
      <calculatedColumnFormula>[7]Mode_l_f0_b0!I2</calculatedColumnFormula>
    </tableColumn>
    <tableColumn id="11" xr3:uid="{C53533F8-7533-44F1-90BA-B150BF875299}" name="signif." dataDxfId="454">
      <calculatedColumnFormula>[7]Mode_l_f0_b0!J2</calculatedColumnFormula>
    </tableColumn>
    <tableColumn id="8" xr3:uid="{C1996589-8716-4257-9BC3-42E65902C402}" name="|CI-delta|" dataDxfId="453">
      <calculatedColumnFormula>B37-C37</calculatedColumnFormula>
    </tableColumn>
  </tableColumns>
  <tableStyleInfo name="TableStyleMedium2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A90:F98" totalsRowShown="0" headerRowDxfId="338" dataDxfId="336" headerRowBorderDxfId="337" tableBorderDxfId="335" totalsRowBorderDxfId="334">
  <autoFilter ref="A90:F98" xr:uid="{16906F7D-6662-46E4-84F3-9AAF62C61242}"/>
  <tableColumns count="6">
    <tableColumn id="1" xr3:uid="{89F96BA7-E1A0-43BA-9990-4183F8DC6997}" name="Predictors" dataDxfId="333">
      <calculatedColumnFormula>A36</calculatedColumnFormula>
    </tableColumn>
    <tableColumn id="2" xr3:uid="{7CE57966-36A6-4A00-A33D-285D0817534A}" name="Estimates" dataDxfId="332">
      <calculatedColumnFormula>[25]Mode_PA_lh_slope_b0!B2</calculatedColumnFormula>
    </tableColumn>
    <tableColumn id="6" xr3:uid="{FF4061DC-ECCB-4575-BFAB-736ED74106BB}" name="2.5% CI" dataDxfId="331">
      <calculatedColumnFormula>[25]Mode_PA_lh_slope_b0!C2</calculatedColumnFormula>
    </tableColumn>
    <tableColumn id="5" xr3:uid="{86574847-CC7E-41F3-9B86-76D99ED48F82}" name="97.5% CI" dataDxfId="330">
      <calculatedColumnFormula>[25]Mode_PA_lh_slope_b0!D2</calculatedColumnFormula>
    </tableColumn>
    <tableColumn id="4" xr3:uid="{940F3AC7-4A27-41CF-9CB0-BCD00068EBA8}" name="std.error" dataDxfId="329">
      <calculatedColumnFormula>[25]Mode_PA_lh_slope_b0!E2</calculatedColumnFormula>
    </tableColumn>
    <tableColumn id="8" xr3:uid="{BDAF6820-92C5-4CC2-BE97-6CFF45D70993}" name="|CI-delta|" dataDxfId="328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EA6B1C-84D3-4A40-92AD-610AC099290B}" name="Table713" displayName="Table713" ref="A101:F109" totalsRowShown="0" headerRowDxfId="327" dataDxfId="325" headerRowBorderDxfId="326" tableBorderDxfId="324" totalsRowBorderDxfId="323">
  <autoFilter ref="A101:F109" xr:uid="{22EA6B1C-84D3-4A40-92AD-610AC099290B}"/>
  <tableColumns count="6">
    <tableColumn id="1" xr3:uid="{6B6C2CC0-186B-406C-B1D8-DFE5A5918648}" name="Predictors" dataDxfId="322">
      <calculatedColumnFormula>A91</calculatedColumnFormula>
    </tableColumn>
    <tableColumn id="2" xr3:uid="{42646AEB-FF39-4F69-A734-F0D65A426920}" name="Estimates" dataDxfId="321">
      <calculatedColumnFormula>[19]Mode_PA_lh_mean_f0_b0!B2</calculatedColumnFormula>
    </tableColumn>
    <tableColumn id="6" xr3:uid="{E8E0106D-E6F9-4676-BB09-BBDD77A552B3}" name="2.5% CI" dataDxfId="320">
      <calculatedColumnFormula>[19]Mode_PA_lh_mean_f0_b0!C2</calculatedColumnFormula>
    </tableColumn>
    <tableColumn id="5" xr3:uid="{6AA0D04B-0F52-43B3-9DD3-659F6D23430F}" name="97.5% CI" dataDxfId="319">
      <calculatedColumnFormula>[19]Mode_PA_lh_mean_f0_b0!D2</calculatedColumnFormula>
    </tableColumn>
    <tableColumn id="4" xr3:uid="{6A70A751-0BFF-41F4-8A79-F56C4077AF68}" name="std.error" dataDxfId="318">
      <calculatedColumnFormula>[19]Mode_PA_lh_mean_f0_b0!E2</calculatedColumnFormula>
    </tableColumn>
    <tableColumn id="8" xr3:uid="{4AEC95B2-437F-40B5-922E-C822556CF105}" name="|CI-delta|" dataDxfId="317">
      <calculatedColumnFormula>Table713[[#This Row],[Estimates]]-Table713[[#This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BF287D-718A-46E3-92E2-00248ED5E4B0}" name="Table39" displayName="Table39" ref="A42:K46" totalsRowShown="0" headerRowDxfId="452" dataDxfId="450" headerRowBorderDxfId="451" tableBorderDxfId="449" totalsRowBorderDxfId="448">
  <autoFilter ref="A42:K46" xr:uid="{DE40A492-BBA9-4876-8724-BC64B3994271}"/>
  <tableColumns count="11">
    <tableColumn id="1" xr3:uid="{E34199D2-D5CB-45DC-96B2-AAECCF32344B}" name="Predictors" dataDxfId="447">
      <calculatedColumnFormula>A24</calculatedColumnFormula>
    </tableColumn>
    <tableColumn id="2" xr3:uid="{BF536D58-8825-421A-A286-3483AB4A0DBA}" name="estimate" dataDxfId="446">
      <calculatedColumnFormula>[8]Mode_h_f0_b0!B2</calculatedColumnFormula>
    </tableColumn>
    <tableColumn id="6" xr3:uid="{51E253F3-5545-4607-87E2-3713F0C79ED0}" name="2.5% CI" dataDxfId="445">
      <calculatedColumnFormula>[8]Mode_h_f0_b0!C2</calculatedColumnFormula>
    </tableColumn>
    <tableColumn id="5" xr3:uid="{39D9684C-88E4-42B1-822E-8BF560658BA3}" name="97.5% CI" dataDxfId="444">
      <calculatedColumnFormula>[8]Mode_h_f0_b0!D2</calculatedColumnFormula>
    </tableColumn>
    <tableColumn id="4" xr3:uid="{DBC249E2-0975-4309-BB60-C2B64E67BC66}" name="std.error" dataDxfId="443">
      <calculatedColumnFormula>[8]Mode_h_f0_b0!E2</calculatedColumnFormula>
    </tableColumn>
    <tableColumn id="9" xr3:uid="{BC78A058-E2DD-4469-A2C7-112329D198FF}" name="z.value" dataDxfId="442">
      <calculatedColumnFormula>[8]Mode_h_f0_b0!F2</calculatedColumnFormula>
    </tableColumn>
    <tableColumn id="7" xr3:uid="{345088CF-6388-428C-8713-406B42459A71}" name="df" dataDxfId="441">
      <calculatedColumnFormula>[8]Mode_h_f0_b0!G2</calculatedColumnFormula>
    </tableColumn>
    <tableColumn id="3" xr3:uid="{BF186A60-3668-4E52-B6B6-5FA634C84064}" name="p.value" dataDxfId="440">
      <calculatedColumnFormula>[8]Mode_h_f0_b0!H2</calculatedColumnFormula>
    </tableColumn>
    <tableColumn id="10" xr3:uid="{E78DB220-8E24-4C46-B371-A977334CF0B2}" name="p.adj (BH)" dataDxfId="439">
      <calculatedColumnFormula>[8]Mode_h_f0_b0!I2</calculatedColumnFormula>
    </tableColumn>
    <tableColumn id="11" xr3:uid="{2F1FC41D-A1D8-48DD-84A7-299EAAD40F3C}" name="signif." dataDxfId="438">
      <calculatedColumnFormula>[8]Mode_h_f0_b0!J2</calculatedColumnFormula>
    </tableColumn>
    <tableColumn id="8" xr3:uid="{91174BE1-7871-4821-9200-FC6E6061BBAE}" name="|CI-delta|" dataDxfId="437">
      <calculatedColumnFormula>B43-C43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4B90E4-FA0D-41C5-A3C7-D9B1134DF15D}" name="Table510" displayName="Table510" ref="A23:K27" totalsRowShown="0" headerRowDxfId="436" dataDxfId="434" headerRowBorderDxfId="435" tableBorderDxfId="433" totalsRowBorderDxfId="432">
  <autoFilter ref="A23:K27" xr:uid="{31E79EDA-219D-4CFA-8AA6-6A991A81B772}"/>
  <tableColumns count="11">
    <tableColumn id="1" xr3:uid="{25702B6E-B402-46EF-BB07-89FAEF761F4F}" name="Predictors" dataDxfId="431" totalsRowDxfId="430"/>
    <tableColumn id="2" xr3:uid="{55B41C0A-72EC-4198-AA0E-BDC398F9A9B6}" name="estimate" dataDxfId="429" totalsRowDxfId="428">
      <calculatedColumnFormula>[5]Mode_l_t_b0!B2</calculatedColumnFormula>
    </tableColumn>
    <tableColumn id="6" xr3:uid="{6F9FB966-53EF-492A-8818-43E47D6A804A}" name="2.5% CI" dataDxfId="427" totalsRowDxfId="426">
      <calculatedColumnFormula>[5]Mode_l_t_b0!C2</calculatedColumnFormula>
    </tableColumn>
    <tableColumn id="5" xr3:uid="{79B4821D-DF78-4C65-827E-002BD888F3B1}" name="97.5% CI" dataDxfId="425" totalsRowDxfId="424">
      <calculatedColumnFormula>[5]Mode_l_t_b0!D2</calculatedColumnFormula>
    </tableColumn>
    <tableColumn id="11" xr3:uid="{F482AED5-B0BB-44BF-A8A3-D22BD51F16CA}" name="std.error" dataDxfId="423" totalsRowDxfId="422">
      <calculatedColumnFormula>[5]Mode_l_t_b0!E2</calculatedColumnFormula>
    </tableColumn>
    <tableColumn id="9" xr3:uid="{53B8EDFB-2AAD-41CD-93BC-EBF6EF2FA968}" name="z.value" dataDxfId="421" totalsRowDxfId="420">
      <calculatedColumnFormula>[5]Mode_l_t_b0!F2</calculatedColumnFormula>
    </tableColumn>
    <tableColumn id="7" xr3:uid="{B0600C54-1844-472B-91DD-0DF3D01FC44F}" name="df" dataDxfId="419" totalsRowDxfId="418">
      <calculatedColumnFormula>[5]Mode_l_t_b0!G2</calculatedColumnFormula>
    </tableColumn>
    <tableColumn id="4" xr3:uid="{FFDC2EE2-1EB3-430A-AB8E-0D89238F833E}" name="p.value" dataDxfId="417" totalsRowDxfId="416">
      <calculatedColumnFormula>[5]Mode_l_t_b0!H2</calculatedColumnFormula>
    </tableColumn>
    <tableColumn id="10" xr3:uid="{8B21A8EF-9EF0-49B8-878F-EF9AB4B6D715}" name="p.adj (BH)" dataDxfId="415" totalsRowDxfId="414">
      <calculatedColumnFormula>[5]Mode_l_t_b0!I2</calculatedColumnFormula>
    </tableColumn>
    <tableColumn id="12" xr3:uid="{21E87D89-DB44-44E1-BA28-5564E496E5EF}" name="signif." dataDxfId="413" totalsRowDxfId="412">
      <calculatedColumnFormula>[5]Mode_l_t_b0!J2</calculatedColumnFormula>
    </tableColumn>
    <tableColumn id="8" xr3:uid="{E2CC2F45-52B6-411C-8857-874E710E7E9B}" name="|CI-delta|" dataDxfId="411" totalsRowDxfId="410">
      <calculatedColumnFormula>Table510[[#This Row],[estimate]]-Table510[[#This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D7496-E8F9-48C6-855C-307C342D7AEF}" name="Table611" displayName="Table611" ref="A29:K33" totalsRowShown="0" headerRowDxfId="409" dataDxfId="407" headerRowBorderDxfId="408" tableBorderDxfId="406" totalsRowBorderDxfId="405">
  <autoFilter ref="A29:K33" xr:uid="{873E651E-364D-4C9A-AC67-F669F1DC98F7}"/>
  <tableColumns count="11">
    <tableColumn id="1" xr3:uid="{13F39383-83C5-45EF-A3DC-AB048CB47D6B}" name="Predictors" dataDxfId="404">
      <calculatedColumnFormula>A24</calculatedColumnFormula>
    </tableColumn>
    <tableColumn id="2" xr3:uid="{FC01EC59-6FE5-4984-BD8C-56885D9A31B8}" name="estimate" dataDxfId="403">
      <calculatedColumnFormula>[6]Mode_h_t_b0!B2</calculatedColumnFormula>
    </tableColumn>
    <tableColumn id="6" xr3:uid="{123C5CEC-9EE4-42F1-8816-CAF425B9D6D8}" name="2.5% CI" dataDxfId="402">
      <calculatedColumnFormula>[6]Mode_h_t_b0!C2</calculatedColumnFormula>
    </tableColumn>
    <tableColumn id="5" xr3:uid="{92067161-C954-46A0-8425-5016FA39924E}" name="97.5% CI" dataDxfId="401">
      <calculatedColumnFormula>[6]Mode_h_t_b0!D2</calculatedColumnFormula>
    </tableColumn>
    <tableColumn id="11" xr3:uid="{BC66FE52-2DDC-4CAC-9D64-34A38A088B90}" name="std.error" dataDxfId="400">
      <calculatedColumnFormula>[6]Mode_h_t_b0!E2</calculatedColumnFormula>
    </tableColumn>
    <tableColumn id="7" xr3:uid="{69D0A743-B567-418D-8648-545E6E11AEE0}" name="z.value" dataDxfId="399">
      <calculatedColumnFormula>[6]Mode_h_t_b0!F2</calculatedColumnFormula>
    </tableColumn>
    <tableColumn id="4" xr3:uid="{AB4376D9-BDD9-4A36-92E2-B7D853A42B1C}" name="df" dataDxfId="398">
      <calculatedColumnFormula>[6]Mode_h_t_b0!G2</calculatedColumnFormula>
    </tableColumn>
    <tableColumn id="3" xr3:uid="{C7B0BA2B-ACE8-4615-9B5C-C09C24410A89}" name="p.value" dataDxfId="397">
      <calculatedColumnFormula>[6]Mode_h_t_b0!H2</calculatedColumnFormula>
    </tableColumn>
    <tableColumn id="9" xr3:uid="{BEF049A1-4C9A-4C60-8CFB-2E49B1922F49}" name="p.adj (BH)" dataDxfId="396">
      <calculatedColumnFormula>[6]Mode_h_t_b0!I2</calculatedColumnFormula>
    </tableColumn>
    <tableColumn id="10" xr3:uid="{B0F27E57-CE19-4360-9DFD-7B3120590EF3}" name="signif." dataDxfId="395">
      <calculatedColumnFormula>[6]Mode_h_t_b0!J2</calculatedColumnFormula>
    </tableColumn>
    <tableColumn id="8" xr3:uid="{017AD943-F50D-4872-8482-F88D6E168424}" name="|CI-delta|" dataDxfId="394">
      <calculatedColumnFormula>B30-C30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A57:F65" totalsRowShown="0" headerRowDxfId="393" dataDxfId="391" headerRowBorderDxfId="392" tableBorderDxfId="390" totalsRowBorderDxfId="389">
  <autoFilter ref="A57:F65" xr:uid="{D3980010-2201-43EF-9941-5D34E4A5CF0F}"/>
  <tableColumns count="6">
    <tableColumn id="1" xr3:uid="{48EA7560-AFDA-4976-872C-A62413C27C30}" name="Predictors" dataDxfId="388">
      <calculatedColumnFormula>A47</calculatedColumnFormula>
    </tableColumn>
    <tableColumn id="2" xr3:uid="{B74BAF5A-A8B1-41AC-AA5C-9C7F4D3C00F5}" name="Estimates" dataDxfId="387">
      <calculatedColumnFormula>[13]Mode_PA_l_f0_b0!B2</calculatedColumnFormula>
    </tableColumn>
    <tableColumn id="6" xr3:uid="{25F0D2CD-4553-4F0F-A005-7B069A4DF146}" name="2.5% CI" dataDxfId="386">
      <calculatedColumnFormula>[13]Mode_PA_l_f0_b0!C2</calculatedColumnFormula>
    </tableColumn>
    <tableColumn id="5" xr3:uid="{5C65DEBD-594B-4030-A893-0F5416AC8463}" name="97.5% CI" dataDxfId="385">
      <calculatedColumnFormula>[13]Mode_PA_l_f0_b0!D2</calculatedColumnFormula>
    </tableColumn>
    <tableColumn id="4" xr3:uid="{DBAE124F-2AB7-4917-BD3C-BAC1A6AFFFAF}" name="std.error" dataDxfId="384">
      <calculatedColumnFormula>[13]Mode_PA_l_f0_b0!E2</calculatedColumnFormula>
    </tableColumn>
    <tableColumn id="8" xr3:uid="{C1996589-8716-4257-9BC3-42E65902C402}" name="|CI-delta|" dataDxfId="383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A68:F76" totalsRowShown="0" headerRowDxfId="382" dataDxfId="380" headerRowBorderDxfId="381" tableBorderDxfId="379" totalsRowBorderDxfId="378">
  <autoFilter ref="A68:F76" xr:uid="{DE40A492-BBA9-4876-8724-BC64B3994271}"/>
  <tableColumns count="6">
    <tableColumn id="1" xr3:uid="{E34199D2-D5CB-45DC-96B2-AAECCF32344B}" name="Predictors" dataDxfId="377">
      <calculatedColumnFormula>A36</calculatedColumnFormula>
    </tableColumn>
    <tableColumn id="2" xr3:uid="{BF536D58-8825-421A-A286-3483AB4A0DBA}" name="Estimates" dataDxfId="376">
      <calculatedColumnFormula>[15]Mode_PA_h_f0_b0!B2</calculatedColumnFormula>
    </tableColumn>
    <tableColumn id="6" xr3:uid="{51E253F3-5545-4607-87E2-3713F0C79ED0}" name="2.5% CI" dataDxfId="375">
      <calculatedColumnFormula>[15]Mode_PA_h_f0_b0!C2</calculatedColumnFormula>
    </tableColumn>
    <tableColumn id="5" xr3:uid="{39D9684C-88E4-42B1-822E-8BF560658BA3}" name="97.5% CI" dataDxfId="374">
      <calculatedColumnFormula>[15]Mode_PA_h_f0_b0!D2</calculatedColumnFormula>
    </tableColumn>
    <tableColumn id="4" xr3:uid="{4F3547A1-CB2A-4E98-A68E-DF4170001DC3}" name="std.error" dataDxfId="373">
      <calculatedColumnFormula>[15]Mode_PA_h_f0_b0!E2</calculatedColumnFormula>
    </tableColumn>
    <tableColumn id="8" xr3:uid="{91174BE1-7871-4821-9200-FC6E6061BBAE}" name="|CI-delta|" dataDxfId="372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A79:F87" totalsRowShown="0" headerRowDxfId="371" dataDxfId="369" headerRowBorderDxfId="370" tableBorderDxfId="368" totalsRowBorderDxfId="367">
  <autoFilter ref="A79:F87" xr:uid="{6BDDC793-1E7A-4B5C-BD08-84F047AC5B6B}"/>
  <tableColumns count="6">
    <tableColumn id="1" xr3:uid="{82A813F0-7850-4939-B6AE-4F49D1DC217D}" name="Predictors" dataDxfId="366">
      <calculatedColumnFormula>A69</calculatedColumnFormula>
    </tableColumn>
    <tableColumn id="2" xr3:uid="{352EAC9D-A02A-4CE8-AF89-3ED3FCB5A979}" name="Estimates" dataDxfId="365">
      <calculatedColumnFormula>[17]Mode_PA_f0_exc_b0!B2</calculatedColumnFormula>
    </tableColumn>
    <tableColumn id="6" xr3:uid="{5E6CA2DC-274F-42F5-A8A5-390EFB24C110}" name="2.5% CI" dataDxfId="364">
      <calculatedColumnFormula>[17]Mode_PA_f0_exc_b0!C2</calculatedColumnFormula>
    </tableColumn>
    <tableColumn id="5" xr3:uid="{EAC0DAFE-B91D-4C42-BDC9-4EF8ECE68B5F}" name="97.5% CI" dataDxfId="363">
      <calculatedColumnFormula>[17]Mode_PA_f0_exc_b0!D2</calculatedColumnFormula>
    </tableColumn>
    <tableColumn id="4" xr3:uid="{CB27144C-5C4D-45A2-BBE0-7A2281B6005E}" name="std.error" dataDxfId="362">
      <calculatedColumnFormula>[17]Mode_PA_f0_exc_b0!E2</calculatedColumnFormula>
    </tableColumn>
    <tableColumn id="8" xr3:uid="{43307C70-1753-4EDD-A9F4-88C5315A288A}" name="|CI-delta|" dataDxfId="361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35:F43" totalsRowShown="0" headerRowDxfId="360" dataDxfId="358" headerRowBorderDxfId="359" tableBorderDxfId="357" totalsRowBorderDxfId="356">
  <autoFilter ref="A35:F43" xr:uid="{31E79EDA-219D-4CFA-8AA6-6A991A81B772}"/>
  <tableColumns count="6">
    <tableColumn id="1" xr3:uid="{25702B6E-B402-46EF-BB07-89FAEF761F4F}" name="Predictors" dataDxfId="355"/>
    <tableColumn id="2" xr3:uid="{55B41C0A-72EC-4198-AA0E-BDC398F9A9B6}" name="Estimates" dataDxfId="354">
      <calculatedColumnFormula>[21]Mode_PA_l_t_b0!B2</calculatedColumnFormula>
    </tableColumn>
    <tableColumn id="6" xr3:uid="{6F9FB966-53EF-492A-8818-43E47D6A804A}" name="2.5% CI" dataDxfId="353">
      <calculatedColumnFormula>[21]Mode_PA_l_t_b0!C2</calculatedColumnFormula>
    </tableColumn>
    <tableColumn id="5" xr3:uid="{79B4821D-DF78-4C65-827E-002BD888F3B1}" name="97.5% CI" dataDxfId="352">
      <calculatedColumnFormula>[21]Mode_PA_l_t_b0!D2</calculatedColumnFormula>
    </tableColumn>
    <tableColumn id="7" xr3:uid="{01175348-29DC-4F27-B480-262E1C115CFD}" name="std.error" dataDxfId="351">
      <calculatedColumnFormula>[21]Mode_PA_l_t_b0!E2</calculatedColumnFormula>
    </tableColumn>
    <tableColumn id="8" xr3:uid="{E2CC2F45-52B6-411C-8857-874E710E7E9B}" name="|CI-delta|" dataDxfId="350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46:F54" totalsRowShown="0" headerRowDxfId="349" dataDxfId="347" headerRowBorderDxfId="348" tableBorderDxfId="346" totalsRowBorderDxfId="345">
  <autoFilter ref="A46:F54" xr:uid="{873E651E-364D-4C9A-AC67-F669F1DC98F7}"/>
  <tableColumns count="6">
    <tableColumn id="1" xr3:uid="{13F39383-83C5-45EF-A3DC-AB048CB47D6B}" name="Predictors" dataDxfId="344">
      <calculatedColumnFormula>A36</calculatedColumnFormula>
    </tableColumn>
    <tableColumn id="2" xr3:uid="{FC01EC59-6FE5-4984-BD8C-56885D9A31B8}" name="Estimates" dataDxfId="343">
      <calculatedColumnFormula>[23]Mode_PA_h_t_b0!B2</calculatedColumnFormula>
    </tableColumn>
    <tableColumn id="6" xr3:uid="{123C5CEC-9EE4-42F1-8816-CAF425B9D6D8}" name="2.5% CI" dataDxfId="342">
      <calculatedColumnFormula>[23]Mode_PA_h_t_b0!C2</calculatedColumnFormula>
    </tableColumn>
    <tableColumn id="5" xr3:uid="{92067161-C954-46A0-8425-5016FA39924E}" name="97.5% CI" dataDxfId="341">
      <calculatedColumnFormula>[23]Mode_PA_h_t_b0!D2</calculatedColumnFormula>
    </tableColumn>
    <tableColumn id="4" xr3:uid="{EE36E7A7-1D0E-40E4-B2DF-C9C6E2F96C9B}" name="std.error" dataDxfId="340">
      <calculatedColumnFormula>[23]Mode_PA_h_t_b0!E2</calculatedColumnFormula>
    </tableColumn>
    <tableColumn id="8" xr3:uid="{017AD943-F50D-4872-8482-F88D6E168424}" name="|CI-delta|" dataDxfId="339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94E7-48F5-4E75-AB1C-752B69E229F6}">
  <dimension ref="A1:AZ46"/>
  <sheetViews>
    <sheetView showGridLines="0" zoomScale="70" zoomScaleNormal="70" zoomScaleSheetLayoutView="55" workbookViewId="0"/>
  </sheetViews>
  <sheetFormatPr defaultColWidth="8.88671875" defaultRowHeight="14.4" x14ac:dyDescent="0.3"/>
  <cols>
    <col min="1" max="1" width="14.6640625" style="249" bestFit="1" customWidth="1"/>
    <col min="2" max="2" width="12" style="253" bestFit="1" customWidth="1"/>
    <col min="3" max="3" width="10.44140625" style="253" bestFit="1" customWidth="1"/>
    <col min="4" max="4" width="11.5546875" style="253" bestFit="1" customWidth="1"/>
    <col min="5" max="5" width="12" style="253" customWidth="1"/>
    <col min="6" max="6" width="10.109375" style="249" bestFit="1" customWidth="1"/>
    <col min="7" max="7" width="6" style="249" bestFit="1" customWidth="1"/>
    <col min="8" max="8" width="11.109375" style="249" customWidth="1"/>
    <col min="9" max="9" width="12.44140625" style="249" bestFit="1" customWidth="1"/>
    <col min="10" max="10" width="11" style="249" customWidth="1"/>
    <col min="11" max="11" width="12.77734375" style="253" bestFit="1" customWidth="1"/>
    <col min="12" max="12" width="14.6640625" style="253" bestFit="1" customWidth="1"/>
    <col min="13" max="13" width="13.21875" style="253" bestFit="1" customWidth="1"/>
    <col min="14" max="14" width="12" style="253" bestFit="1" customWidth="1"/>
    <col min="15" max="15" width="10.44140625" style="252" bestFit="1" customWidth="1"/>
    <col min="16" max="16" width="11.5546875" style="251" bestFit="1" customWidth="1"/>
    <col min="17" max="17" width="12" style="249" bestFit="1" customWidth="1"/>
    <col min="18" max="18" width="10.109375" style="249" bestFit="1" customWidth="1"/>
    <col min="19" max="19" width="6" style="249" bestFit="1" customWidth="1"/>
    <col min="20" max="20" width="10.44140625" style="249" bestFit="1" customWidth="1"/>
    <col min="21" max="21" width="12.44140625" style="249" bestFit="1" customWidth="1"/>
    <col min="22" max="22" width="9.109375" style="249" bestFit="1" customWidth="1"/>
    <col min="23" max="23" width="12.77734375" style="249" bestFit="1" customWidth="1"/>
    <col min="24" max="24" width="10.44140625" style="249" bestFit="1" customWidth="1"/>
    <col min="25" max="25" width="11.5546875" style="249" bestFit="1" customWidth="1"/>
    <col min="26" max="26" width="14.33203125" style="249" bestFit="1" customWidth="1"/>
    <col min="27" max="27" width="12.33203125" style="249" customWidth="1"/>
    <col min="28" max="28" width="12.6640625" style="250" bestFit="1" customWidth="1"/>
    <col min="29" max="29" width="12.6640625" style="249" bestFit="1" customWidth="1"/>
    <col min="30" max="30" width="12" style="249" bestFit="1" customWidth="1"/>
    <col min="31" max="31" width="12.6640625" style="249" bestFit="1" customWidth="1"/>
    <col min="32" max="32" width="12" style="249" customWidth="1"/>
    <col min="33" max="33" width="13" style="249" customWidth="1"/>
    <col min="34" max="16384" width="8.88671875" style="249"/>
  </cols>
  <sheetData>
    <row r="1" spans="1:28" ht="16.2" thickBot="1" x14ac:dyDescent="0.35">
      <c r="A1" s="319" t="str">
        <f>A24</f>
        <v>MDC</v>
      </c>
      <c r="B1" s="319" t="s">
        <v>70</v>
      </c>
      <c r="C1" s="319" t="str">
        <f t="shared" ref="C1:J1" si="0">C$23</f>
        <v>2.5% CI</v>
      </c>
      <c r="D1" s="319" t="str">
        <f t="shared" si="0"/>
        <v>97.5% CI</v>
      </c>
      <c r="E1" s="319" t="str">
        <f t="shared" si="0"/>
        <v>std.error</v>
      </c>
      <c r="F1" s="319" t="str">
        <f t="shared" si="0"/>
        <v>z.value</v>
      </c>
      <c r="G1" s="319" t="str">
        <f t="shared" si="0"/>
        <v>df</v>
      </c>
      <c r="H1" s="319" t="str">
        <f t="shared" si="0"/>
        <v>p.value</v>
      </c>
      <c r="I1" s="319" t="str">
        <f t="shared" si="0"/>
        <v>p.adj (BH)</v>
      </c>
      <c r="J1" s="319" t="str">
        <f t="shared" si="0"/>
        <v>signif.</v>
      </c>
      <c r="K1" s="319" t="s">
        <v>68</v>
      </c>
      <c r="L1" s="319" t="s">
        <v>69</v>
      </c>
      <c r="M1" s="249"/>
      <c r="N1" s="249"/>
      <c r="O1" s="249"/>
      <c r="P1" s="249"/>
      <c r="AB1" s="249"/>
    </row>
    <row r="2" spans="1:28" ht="16.2" thickTop="1" x14ac:dyDescent="0.3">
      <c r="A2" s="323" t="s">
        <v>99</v>
      </c>
      <c r="B2" s="324">
        <f t="shared" ref="B2:J2" si="1">B37</f>
        <v>84.262</v>
      </c>
      <c r="C2" s="324">
        <f t="shared" si="1"/>
        <v>80.634898090073094</v>
      </c>
      <c r="D2" s="324">
        <f t="shared" si="1"/>
        <v>87.889521622177298</v>
      </c>
      <c r="E2" s="323">
        <f t="shared" si="1"/>
        <v>1.657</v>
      </c>
      <c r="F2" s="323">
        <f t="shared" si="1"/>
        <v>50.838000000000001</v>
      </c>
      <c r="G2" s="323">
        <f t="shared" si="1"/>
        <v>11.54</v>
      </c>
      <c r="H2" s="325">
        <f t="shared" si="1"/>
        <v>6.1999999999999998E-15</v>
      </c>
      <c r="I2" s="325">
        <f t="shared" si="1"/>
        <v>2E-14</v>
      </c>
      <c r="J2" s="326" t="str">
        <f t="shared" si="1"/>
        <v>p&lt;0.0001</v>
      </c>
      <c r="K2" s="327">
        <f>[1]Mode_l_f0_r2!$B$3</f>
        <v>3.8351665334162899E-2</v>
      </c>
      <c r="L2" s="327">
        <f>[1]Mode_l_f0_r2!$B$2</f>
        <v>0.92799109672532598</v>
      </c>
      <c r="M2" s="255"/>
      <c r="N2" s="249"/>
      <c r="O2" s="249"/>
      <c r="P2" s="249"/>
      <c r="AB2" s="249"/>
    </row>
    <row r="3" spans="1:28" ht="15.6" x14ac:dyDescent="0.3">
      <c r="A3" s="328" t="s">
        <v>100</v>
      </c>
      <c r="B3" s="328">
        <f t="shared" ref="B3:J3" si="2">B43</f>
        <v>90.093999999999994</v>
      </c>
      <c r="C3" s="328">
        <f t="shared" si="2"/>
        <v>86.076363660855506</v>
      </c>
      <c r="D3" s="328">
        <f t="shared" si="2"/>
        <v>94.112041878367805</v>
      </c>
      <c r="E3" s="329">
        <f t="shared" si="2"/>
        <v>1.78</v>
      </c>
      <c r="F3" s="329">
        <f t="shared" si="2"/>
        <v>50.613</v>
      </c>
      <c r="G3" s="329">
        <f t="shared" si="2"/>
        <v>9.1300000000000008</v>
      </c>
      <c r="H3" s="330">
        <f t="shared" si="2"/>
        <v>1.7E-12</v>
      </c>
      <c r="I3" s="330">
        <f t="shared" si="2"/>
        <v>3.8999999999999999E-12</v>
      </c>
      <c r="J3" s="331" t="str">
        <f t="shared" si="2"/>
        <v>p&lt;0.0001</v>
      </c>
      <c r="K3" s="329">
        <f>[2]Mode_h_f0_r2!$B$3</f>
        <v>9.5347789908128699E-2</v>
      </c>
      <c r="L3" s="329">
        <f>[2]Mode_h_f0_r2!$B$2</f>
        <v>0.87755115375023396</v>
      </c>
      <c r="M3" s="255"/>
      <c r="N3" s="249"/>
      <c r="O3" s="249"/>
      <c r="P3" s="249"/>
      <c r="AB3" s="249"/>
    </row>
    <row r="4" spans="1:28" x14ac:dyDescent="0.3">
      <c r="A4" s="332" t="s">
        <v>84</v>
      </c>
      <c r="B4" s="332">
        <f t="shared" ref="B4:J4" si="3">B24</f>
        <v>66.206999999999994</v>
      </c>
      <c r="C4" s="332">
        <f t="shared" si="3"/>
        <v>43.514616892347199</v>
      </c>
      <c r="D4" s="332">
        <f t="shared" si="3"/>
        <v>88.899362418405701</v>
      </c>
      <c r="E4" s="328">
        <f t="shared" si="3"/>
        <v>10.45</v>
      </c>
      <c r="F4" s="329">
        <f t="shared" si="3"/>
        <v>6.3360000000000003</v>
      </c>
      <c r="G4" s="329">
        <f t="shared" si="3"/>
        <v>12.38</v>
      </c>
      <c r="H4" s="330">
        <f t="shared" si="3"/>
        <v>3.3000000000000003E-5</v>
      </c>
      <c r="I4" s="330">
        <f t="shared" si="3"/>
        <v>5.3000000000000001E-5</v>
      </c>
      <c r="J4" s="331" t="str">
        <f t="shared" si="3"/>
        <v>p&lt;0.0001</v>
      </c>
      <c r="K4" s="329">
        <f>[3]Mode_l_t_r2!$B$3</f>
        <v>5.4608297896494802E-2</v>
      </c>
      <c r="L4" s="329">
        <f>[3]Mode_l_t_r2!$B$2</f>
        <v>0.77487713461109398</v>
      </c>
      <c r="M4" s="255"/>
      <c r="N4" s="249"/>
      <c r="O4" s="249"/>
      <c r="P4" s="249"/>
      <c r="AB4" s="249"/>
    </row>
    <row r="5" spans="1:28" x14ac:dyDescent="0.3">
      <c r="A5" s="332" t="s">
        <v>83</v>
      </c>
      <c r="B5" s="332">
        <f t="shared" ref="B5:J5" si="4">B30</f>
        <v>267.09500000000003</v>
      </c>
      <c r="C5" s="332">
        <f t="shared" si="4"/>
        <v>186.65039216949501</v>
      </c>
      <c r="D5" s="332">
        <f t="shared" si="4"/>
        <v>347.53945100447299</v>
      </c>
      <c r="E5" s="328">
        <f t="shared" si="4"/>
        <v>31.193000000000001</v>
      </c>
      <c r="F5" s="329">
        <f t="shared" si="4"/>
        <v>8.5630000000000006</v>
      </c>
      <c r="G5" s="329">
        <f t="shared" si="4"/>
        <v>4.95</v>
      </c>
      <c r="H5" s="330">
        <f t="shared" si="4"/>
        <v>3.8000000000000002E-4</v>
      </c>
      <c r="I5" s="330">
        <f t="shared" si="4"/>
        <v>5.4000000000000001E-4</v>
      </c>
      <c r="J5" s="331" t="str">
        <f t="shared" si="4"/>
        <v>p&lt;0.001</v>
      </c>
      <c r="K5" s="329">
        <f>[4]Mode_h_t_r2!$B$3</f>
        <v>9.8314637587148292E-3</v>
      </c>
      <c r="L5" s="329">
        <f>[4]Mode_h_t_r2!$B$2</f>
        <v>0.85446438419230797</v>
      </c>
      <c r="M5" s="249"/>
      <c r="N5" s="249"/>
      <c r="O5" s="249"/>
      <c r="P5" s="249"/>
      <c r="AB5" s="249"/>
    </row>
    <row r="6" spans="1:28" ht="16.2" thickBot="1" x14ac:dyDescent="0.35">
      <c r="A6" s="334" t="str">
        <f>A25</f>
        <v>MWH</v>
      </c>
      <c r="B6" s="334" t="s">
        <v>70</v>
      </c>
      <c r="C6" s="334" t="str">
        <f t="shared" ref="C6:J6" si="5">C$23</f>
        <v>2.5% CI</v>
      </c>
      <c r="D6" s="334" t="str">
        <f t="shared" si="5"/>
        <v>97.5% CI</v>
      </c>
      <c r="E6" s="334" t="str">
        <f t="shared" si="5"/>
        <v>std.error</v>
      </c>
      <c r="F6" s="334" t="str">
        <f t="shared" si="5"/>
        <v>z.value</v>
      </c>
      <c r="G6" s="334" t="str">
        <f t="shared" si="5"/>
        <v>df</v>
      </c>
      <c r="H6" s="334" t="str">
        <f t="shared" si="5"/>
        <v>p.value</v>
      </c>
      <c r="I6" s="334" t="str">
        <f t="shared" si="5"/>
        <v>p.adj (BH)</v>
      </c>
      <c r="J6" s="334" t="str">
        <f t="shared" si="5"/>
        <v>signif.</v>
      </c>
      <c r="K6" s="334" t="s">
        <v>68</v>
      </c>
      <c r="L6" s="334" t="s">
        <v>69</v>
      </c>
      <c r="M6" s="249"/>
      <c r="N6" s="249"/>
      <c r="O6" s="249"/>
      <c r="P6" s="249"/>
      <c r="AB6" s="249"/>
    </row>
    <row r="7" spans="1:28" ht="15.6" x14ac:dyDescent="0.3">
      <c r="A7" s="323" t="s">
        <v>99</v>
      </c>
      <c r="B7" s="324">
        <f t="shared" ref="B7:J7" si="6">B38</f>
        <v>84.387</v>
      </c>
      <c r="C7" s="324">
        <f t="shared" si="6"/>
        <v>80.759157436588893</v>
      </c>
      <c r="D7" s="324">
        <f t="shared" si="6"/>
        <v>88.013981670640902</v>
      </c>
      <c r="E7" s="323">
        <f t="shared" si="6"/>
        <v>1.6579999999999999</v>
      </c>
      <c r="F7" s="323">
        <f t="shared" si="6"/>
        <v>50.911000000000001</v>
      </c>
      <c r="G7" s="323">
        <f t="shared" si="6"/>
        <v>11.54</v>
      </c>
      <c r="H7" s="325">
        <f t="shared" si="6"/>
        <v>5.9999999999999997E-15</v>
      </c>
      <c r="I7" s="325">
        <f t="shared" si="6"/>
        <v>2E-14</v>
      </c>
      <c r="J7" s="326" t="str">
        <f t="shared" si="6"/>
        <v>p&lt;0.0001</v>
      </c>
      <c r="K7" s="323">
        <f>[1]Mode_l_f0_r2!$B$3</f>
        <v>3.8351665334162899E-2</v>
      </c>
      <c r="L7" s="323">
        <f>[1]Mode_l_f0_r2!$B$2</f>
        <v>0.92799109672532598</v>
      </c>
      <c r="M7" s="249"/>
      <c r="N7" s="249"/>
      <c r="O7" s="249"/>
      <c r="P7" s="249"/>
      <c r="AB7" s="249"/>
    </row>
    <row r="8" spans="1:28" ht="15.6" x14ac:dyDescent="0.3">
      <c r="A8" s="328" t="s">
        <v>100</v>
      </c>
      <c r="B8" s="328">
        <f t="shared" ref="B8:J8" si="7">B44</f>
        <v>90.501000000000005</v>
      </c>
      <c r="C8" s="328">
        <f t="shared" si="7"/>
        <v>86.482542607305106</v>
      </c>
      <c r="D8" s="328">
        <f t="shared" si="7"/>
        <v>94.518498929950795</v>
      </c>
      <c r="E8" s="329">
        <f t="shared" si="7"/>
        <v>1.78</v>
      </c>
      <c r="F8" s="329">
        <f t="shared" si="7"/>
        <v>50.837000000000003</v>
      </c>
      <c r="G8" s="329">
        <f t="shared" si="7"/>
        <v>9.14</v>
      </c>
      <c r="H8" s="330">
        <f t="shared" si="7"/>
        <v>1.6E-12</v>
      </c>
      <c r="I8" s="330">
        <f t="shared" si="7"/>
        <v>3.7E-12</v>
      </c>
      <c r="J8" s="331" t="str">
        <f t="shared" si="7"/>
        <v>p&lt;0.0001</v>
      </c>
      <c r="K8" s="329">
        <f>[2]Mode_h_f0_r2!$B$3</f>
        <v>9.5347789908128699E-2</v>
      </c>
      <c r="L8" s="329">
        <f>[2]Mode_h_f0_r2!$B$2</f>
        <v>0.87755115375023396</v>
      </c>
      <c r="M8" s="249"/>
      <c r="N8" s="249"/>
      <c r="O8" s="249"/>
      <c r="P8" s="249"/>
      <c r="AB8" s="249"/>
    </row>
    <row r="9" spans="1:28" x14ac:dyDescent="0.3">
      <c r="A9" s="332" t="s">
        <v>84</v>
      </c>
      <c r="B9" s="332">
        <f t="shared" ref="B9:J9" si="8">B25</f>
        <v>66.611000000000004</v>
      </c>
      <c r="C9" s="332">
        <f t="shared" si="8"/>
        <v>43.916594525232803</v>
      </c>
      <c r="D9" s="332">
        <f t="shared" si="8"/>
        <v>89.304848267984895</v>
      </c>
      <c r="E9" s="328">
        <f t="shared" si="8"/>
        <v>10.451000000000001</v>
      </c>
      <c r="F9" s="329">
        <f t="shared" si="8"/>
        <v>6.3730000000000002</v>
      </c>
      <c r="G9" s="329">
        <f t="shared" si="8"/>
        <v>12.38</v>
      </c>
      <c r="H9" s="330">
        <f t="shared" si="8"/>
        <v>3.1000000000000001E-5</v>
      </c>
      <c r="I9" s="330">
        <f t="shared" si="8"/>
        <v>5.1E-5</v>
      </c>
      <c r="J9" s="331" t="str">
        <f t="shared" si="8"/>
        <v>p&lt;0.0001</v>
      </c>
      <c r="K9" s="329">
        <f>[3]Mode_l_t_r2!$B$3</f>
        <v>5.4608297896494802E-2</v>
      </c>
      <c r="L9" s="329">
        <f>[3]Mode_l_t_r2!$B$2</f>
        <v>0.77487713461109398</v>
      </c>
      <c r="M9" s="249"/>
      <c r="N9" s="249"/>
      <c r="O9" s="249"/>
      <c r="P9" s="249"/>
      <c r="AB9" s="249"/>
    </row>
    <row r="10" spans="1:28" x14ac:dyDescent="0.3">
      <c r="A10" s="332" t="s">
        <v>83</v>
      </c>
      <c r="B10" s="332">
        <f t="shared" ref="B10:J10" si="9">B31</f>
        <v>266.72199999999998</v>
      </c>
      <c r="C10" s="332">
        <f t="shared" si="9"/>
        <v>186.278721708294</v>
      </c>
      <c r="D10" s="332">
        <f t="shared" si="9"/>
        <v>347.16607047559103</v>
      </c>
      <c r="E10" s="328">
        <f t="shared" si="9"/>
        <v>31.195</v>
      </c>
      <c r="F10" s="329">
        <f t="shared" si="9"/>
        <v>8.5500000000000007</v>
      </c>
      <c r="G10" s="329">
        <f t="shared" si="9"/>
        <v>4.95</v>
      </c>
      <c r="H10" s="330">
        <f t="shared" si="9"/>
        <v>3.8000000000000002E-4</v>
      </c>
      <c r="I10" s="330">
        <f t="shared" si="9"/>
        <v>5.4000000000000001E-4</v>
      </c>
      <c r="J10" s="331" t="str">
        <f t="shared" si="9"/>
        <v>p&lt;0.001</v>
      </c>
      <c r="K10" s="329">
        <f>[4]Mode_h_t_r2!$B$3</f>
        <v>9.8314637587148292E-3</v>
      </c>
      <c r="L10" s="329">
        <f>[4]Mode_h_t_r2!$B$2</f>
        <v>0.85446438419230797</v>
      </c>
      <c r="N10" s="252"/>
      <c r="P10" s="250"/>
    </row>
    <row r="11" spans="1:28" ht="16.2" thickBot="1" x14ac:dyDescent="0.35">
      <c r="A11" s="335" t="str">
        <f>A26</f>
        <v>MYN</v>
      </c>
      <c r="B11" s="334" t="s">
        <v>70</v>
      </c>
      <c r="C11" s="334" t="str">
        <f t="shared" ref="C11:J11" si="10">C$23</f>
        <v>2.5% CI</v>
      </c>
      <c r="D11" s="334" t="str">
        <f t="shared" si="10"/>
        <v>97.5% CI</v>
      </c>
      <c r="E11" s="334" t="str">
        <f t="shared" si="10"/>
        <v>std.error</v>
      </c>
      <c r="F11" s="334" t="str">
        <f t="shared" si="10"/>
        <v>z.value</v>
      </c>
      <c r="G11" s="334" t="str">
        <f t="shared" si="10"/>
        <v>df</v>
      </c>
      <c r="H11" s="334" t="str">
        <f t="shared" si="10"/>
        <v>p.value</v>
      </c>
      <c r="I11" s="334" t="str">
        <f t="shared" si="10"/>
        <v>p.adj (BH)</v>
      </c>
      <c r="J11" s="334" t="str">
        <f t="shared" si="10"/>
        <v>signif.</v>
      </c>
      <c r="K11" s="334" t="s">
        <v>68</v>
      </c>
      <c r="L11" s="334" t="s">
        <v>69</v>
      </c>
    </row>
    <row r="12" spans="1:28" ht="15.6" x14ac:dyDescent="0.3">
      <c r="A12" s="323" t="s">
        <v>99</v>
      </c>
      <c r="B12" s="324">
        <f t="shared" ref="B12:J12" si="11">B39</f>
        <v>85.884</v>
      </c>
      <c r="C12" s="324">
        <f t="shared" si="11"/>
        <v>82.257315012199697</v>
      </c>
      <c r="D12" s="324">
        <f t="shared" si="11"/>
        <v>89.509953450877504</v>
      </c>
      <c r="E12" s="323">
        <f t="shared" si="11"/>
        <v>1.657</v>
      </c>
      <c r="F12" s="323">
        <f t="shared" si="11"/>
        <v>51.843000000000004</v>
      </c>
      <c r="G12" s="323">
        <f t="shared" si="11"/>
        <v>11.52</v>
      </c>
      <c r="H12" s="325">
        <f t="shared" si="11"/>
        <v>5.2000000000000001E-15</v>
      </c>
      <c r="I12" s="325">
        <f t="shared" si="11"/>
        <v>1.7999999999999999E-14</v>
      </c>
      <c r="J12" s="326" t="str">
        <f t="shared" si="11"/>
        <v>p&lt;0.0001</v>
      </c>
      <c r="K12" s="323">
        <f>[1]Mode_l_f0_r2!$B$3</f>
        <v>3.8351665334162899E-2</v>
      </c>
      <c r="L12" s="323">
        <f>[1]Mode_l_f0_r2!$B$2</f>
        <v>0.92799109672532598</v>
      </c>
    </row>
    <row r="13" spans="1:28" ht="15.6" x14ac:dyDescent="0.3">
      <c r="A13" s="328" t="s">
        <v>100</v>
      </c>
      <c r="B13" s="328">
        <f t="shared" ref="B13:J13" si="12">B45</f>
        <v>91.813000000000002</v>
      </c>
      <c r="C13" s="328">
        <f t="shared" si="12"/>
        <v>87.796729947601094</v>
      </c>
      <c r="D13" s="328">
        <f t="shared" si="12"/>
        <v>95.829644685119007</v>
      </c>
      <c r="E13" s="329">
        <f t="shared" si="12"/>
        <v>1.7789999999999999</v>
      </c>
      <c r="F13" s="329">
        <f t="shared" si="12"/>
        <v>51.621000000000002</v>
      </c>
      <c r="G13" s="329">
        <f t="shared" si="12"/>
        <v>9.1</v>
      </c>
      <c r="H13" s="330">
        <f t="shared" si="12"/>
        <v>1.5000000000000001E-12</v>
      </c>
      <c r="I13" s="330">
        <f t="shared" si="12"/>
        <v>3.6E-12</v>
      </c>
      <c r="J13" s="331" t="str">
        <f t="shared" si="12"/>
        <v>p&lt;0.0001</v>
      </c>
      <c r="K13" s="329">
        <f>[2]Mode_h_f0_r2!$B$3</f>
        <v>9.5347789908128699E-2</v>
      </c>
      <c r="L13" s="329">
        <f>[2]Mode_h_f0_r2!$B$2</f>
        <v>0.87755115375023396</v>
      </c>
    </row>
    <row r="14" spans="1:28" x14ac:dyDescent="0.3">
      <c r="A14" s="332" t="s">
        <v>84</v>
      </c>
      <c r="B14" s="332">
        <f t="shared" ref="B14:J14" si="13">B26</f>
        <v>63.911999999999999</v>
      </c>
      <c r="C14" s="332">
        <f t="shared" si="13"/>
        <v>41.242903273445002</v>
      </c>
      <c r="D14" s="332">
        <f t="shared" si="13"/>
        <v>86.580525272490505</v>
      </c>
      <c r="E14" s="328">
        <f t="shared" si="13"/>
        <v>10.433</v>
      </c>
      <c r="F14" s="329">
        <f t="shared" si="13"/>
        <v>6.1260000000000003</v>
      </c>
      <c r="G14" s="329">
        <f t="shared" si="13"/>
        <v>12.3</v>
      </c>
      <c r="H14" s="330">
        <f t="shared" si="13"/>
        <v>4.6E-5</v>
      </c>
      <c r="I14" s="330">
        <f t="shared" si="13"/>
        <v>7.2999999999999999E-5</v>
      </c>
      <c r="J14" s="331" t="str">
        <f t="shared" si="13"/>
        <v>p&lt;0.0001</v>
      </c>
      <c r="K14" s="329">
        <f>[3]Mode_l_t_r2!$B$3</f>
        <v>5.4608297896494802E-2</v>
      </c>
      <c r="L14" s="329">
        <f>[3]Mode_l_t_r2!$B$2</f>
        <v>0.77487713461109398</v>
      </c>
    </row>
    <row r="15" spans="1:28" x14ac:dyDescent="0.3">
      <c r="A15" s="332" t="s">
        <v>83</v>
      </c>
      <c r="B15" s="332">
        <f t="shared" ref="B15:J15" si="14">B27</f>
        <v>45.158999999999999</v>
      </c>
      <c r="C15" s="332">
        <f t="shared" si="14"/>
        <v>22.545726930497</v>
      </c>
      <c r="D15" s="332">
        <f t="shared" si="14"/>
        <v>67.771491195103906</v>
      </c>
      <c r="E15" s="328">
        <f t="shared" si="14"/>
        <v>10.391999999999999</v>
      </c>
      <c r="F15" s="329">
        <f t="shared" si="14"/>
        <v>4.3460000000000001</v>
      </c>
      <c r="G15" s="329">
        <f t="shared" si="14"/>
        <v>12.14</v>
      </c>
      <c r="H15" s="330">
        <f t="shared" si="14"/>
        <v>9.3000000000000005E-4</v>
      </c>
      <c r="I15" s="330">
        <f t="shared" si="14"/>
        <v>1E-3</v>
      </c>
      <c r="J15" s="331" t="str">
        <f t="shared" si="14"/>
        <v>p&lt;0.01</v>
      </c>
      <c r="K15" s="329">
        <f>[4]Mode_h_t_r2!$B$3</f>
        <v>9.8314637587148292E-3</v>
      </c>
      <c r="L15" s="329">
        <f>[4]Mode_h_t_r2!$B$2</f>
        <v>0.85446438419230797</v>
      </c>
    </row>
    <row r="16" spans="1:28" ht="16.2" thickBot="1" x14ac:dyDescent="0.35">
      <c r="A16" s="334" t="str">
        <f>A32</f>
        <v>MYN</v>
      </c>
      <c r="B16" s="334" t="s">
        <v>70</v>
      </c>
      <c r="C16" s="334" t="str">
        <f t="shared" ref="C16:J16" si="15">C$23</f>
        <v>2.5% CI</v>
      </c>
      <c r="D16" s="334" t="str">
        <f t="shared" si="15"/>
        <v>97.5% CI</v>
      </c>
      <c r="E16" s="334" t="str">
        <f t="shared" si="15"/>
        <v>std.error</v>
      </c>
      <c r="F16" s="334" t="str">
        <f t="shared" si="15"/>
        <v>z.value</v>
      </c>
      <c r="G16" s="334" t="str">
        <f t="shared" si="15"/>
        <v>df</v>
      </c>
      <c r="H16" s="334" t="str">
        <f t="shared" si="15"/>
        <v>p.value</v>
      </c>
      <c r="I16" s="334" t="str">
        <f t="shared" si="15"/>
        <v>p.adj (BH)</v>
      </c>
      <c r="J16" s="334" t="str">
        <f t="shared" si="15"/>
        <v>signif.</v>
      </c>
      <c r="K16" s="334" t="s">
        <v>68</v>
      </c>
      <c r="L16" s="334" t="s">
        <v>69</v>
      </c>
    </row>
    <row r="17" spans="1:52" ht="15.6" x14ac:dyDescent="0.3">
      <c r="A17" s="323" t="s">
        <v>99</v>
      </c>
      <c r="B17" s="324">
        <f t="shared" ref="B17:J17" si="16">B40</f>
        <v>86.745000000000005</v>
      </c>
      <c r="C17" s="324">
        <f t="shared" si="16"/>
        <v>83.120559517265207</v>
      </c>
      <c r="D17" s="324">
        <f t="shared" si="16"/>
        <v>90.369299039297601</v>
      </c>
      <c r="E17" s="323">
        <f t="shared" si="16"/>
        <v>1.655</v>
      </c>
      <c r="F17" s="323">
        <f t="shared" si="16"/>
        <v>52.414000000000001</v>
      </c>
      <c r="G17" s="323">
        <f t="shared" si="16"/>
        <v>11.47</v>
      </c>
      <c r="H17" s="325">
        <f t="shared" si="16"/>
        <v>5.1E-15</v>
      </c>
      <c r="I17" s="325">
        <f t="shared" si="16"/>
        <v>1.7999999999999999E-14</v>
      </c>
      <c r="J17" s="326" t="str">
        <f t="shared" si="16"/>
        <v>p&lt;0.0001</v>
      </c>
      <c r="K17" s="323">
        <f>[1]Mode_l_f0_r2!$B$3</f>
        <v>3.8351665334162899E-2</v>
      </c>
      <c r="L17" s="323">
        <f>[1]Mode_l_f0_r2!$B$2</f>
        <v>0.92799109672532598</v>
      </c>
    </row>
    <row r="18" spans="1:52" ht="15.6" x14ac:dyDescent="0.3">
      <c r="A18" s="328" t="s">
        <v>100</v>
      </c>
      <c r="B18" s="328">
        <f t="shared" ref="B18:J18" si="17">B46</f>
        <v>94.606999999999999</v>
      </c>
      <c r="C18" s="328">
        <f t="shared" si="17"/>
        <v>90.593224015084004</v>
      </c>
      <c r="D18" s="328">
        <f t="shared" si="17"/>
        <v>98.620264099471996</v>
      </c>
      <c r="E18" s="329">
        <f t="shared" si="17"/>
        <v>1.776</v>
      </c>
      <c r="F18" s="329">
        <f t="shared" si="17"/>
        <v>53.283999999999999</v>
      </c>
      <c r="G18" s="329">
        <f t="shared" si="17"/>
        <v>9.0399999999999991</v>
      </c>
      <c r="H18" s="330">
        <f t="shared" si="17"/>
        <v>1.2999999999999999E-12</v>
      </c>
      <c r="I18" s="330">
        <f t="shared" si="17"/>
        <v>3.2000000000000001E-12</v>
      </c>
      <c r="J18" s="331" t="str">
        <f t="shared" si="17"/>
        <v>p&lt;0.0001</v>
      </c>
      <c r="K18" s="329">
        <f>[2]Mode_h_f0_r2!$B$3</f>
        <v>9.5347789908128699E-2</v>
      </c>
      <c r="L18" s="329">
        <f>[2]Mode_h_f0_r2!$B$2</f>
        <v>0.87755115375023396</v>
      </c>
    </row>
    <row r="19" spans="1:52" x14ac:dyDescent="0.3">
      <c r="A19" s="332" t="s">
        <v>84</v>
      </c>
      <c r="B19" s="332">
        <f t="shared" ref="B19:J19" si="18">B27</f>
        <v>45.158999999999999</v>
      </c>
      <c r="C19" s="332">
        <f t="shared" si="18"/>
        <v>22.545726930497</v>
      </c>
      <c r="D19" s="332">
        <f t="shared" si="18"/>
        <v>67.771491195103906</v>
      </c>
      <c r="E19" s="328">
        <f t="shared" si="18"/>
        <v>10.391999999999999</v>
      </c>
      <c r="F19" s="329">
        <f t="shared" si="18"/>
        <v>4.3460000000000001</v>
      </c>
      <c r="G19" s="329">
        <f t="shared" si="18"/>
        <v>12.14</v>
      </c>
      <c r="H19" s="330">
        <f t="shared" si="18"/>
        <v>9.3000000000000005E-4</v>
      </c>
      <c r="I19" s="330">
        <f t="shared" si="18"/>
        <v>1E-3</v>
      </c>
      <c r="J19" s="331" t="str">
        <f t="shared" si="18"/>
        <v>p&lt;0.01</v>
      </c>
      <c r="K19" s="329">
        <f>[3]Mode_l_t_r2!$B$3</f>
        <v>5.4608297896494802E-2</v>
      </c>
      <c r="L19" s="329">
        <f>[3]Mode_l_t_r2!$B$2</f>
        <v>0.77487713461109398</v>
      </c>
    </row>
    <row r="20" spans="1:52" x14ac:dyDescent="0.3">
      <c r="A20" s="332" t="s">
        <v>83</v>
      </c>
      <c r="B20" s="332">
        <f t="shared" ref="B20:J20" si="19">B33</f>
        <v>250.261</v>
      </c>
      <c r="C20" s="332">
        <f t="shared" si="19"/>
        <v>169.79078240875299</v>
      </c>
      <c r="D20" s="332">
        <f t="shared" si="19"/>
        <v>330.73051939626401</v>
      </c>
      <c r="E20" s="328">
        <f t="shared" si="19"/>
        <v>31.146000000000001</v>
      </c>
      <c r="F20" s="329">
        <f t="shared" si="19"/>
        <v>8.0350000000000001</v>
      </c>
      <c r="G20" s="329">
        <f t="shared" si="19"/>
        <v>4.92</v>
      </c>
      <c r="H20" s="333">
        <f t="shared" si="19"/>
        <v>5.1999999999999995E-4</v>
      </c>
      <c r="I20" s="333">
        <f t="shared" si="19"/>
        <v>6.4999999999999997E-4</v>
      </c>
      <c r="J20" s="331" t="str">
        <f t="shared" si="19"/>
        <v>p&lt;0.001</v>
      </c>
      <c r="K20" s="329">
        <f>[4]Mode_h_t_r2!$B$3</f>
        <v>9.8314637587148292E-3</v>
      </c>
      <c r="L20" s="329">
        <f>[4]Mode_h_t_r2!$B$2</f>
        <v>0.85446438419230797</v>
      </c>
    </row>
    <row r="21" spans="1:52" x14ac:dyDescent="0.3">
      <c r="D21" s="254"/>
    </row>
    <row r="22" spans="1:52" s="4" customFormat="1" ht="25.8" x14ac:dyDescent="0.3">
      <c r="A22" s="270" t="s">
        <v>13</v>
      </c>
      <c r="AB22" s="262"/>
    </row>
    <row r="23" spans="1:52" s="280" customFormat="1" x14ac:dyDescent="0.3">
      <c r="A23" s="283" t="s">
        <v>0</v>
      </c>
      <c r="B23" s="264" t="s">
        <v>89</v>
      </c>
      <c r="C23" s="264" t="s">
        <v>10</v>
      </c>
      <c r="D23" s="264" t="s">
        <v>11</v>
      </c>
      <c r="E23" s="264" t="s">
        <v>7</v>
      </c>
      <c r="F23" s="264" t="s">
        <v>88</v>
      </c>
      <c r="G23" s="264" t="s">
        <v>12</v>
      </c>
      <c r="H23" s="264" t="s">
        <v>87</v>
      </c>
      <c r="I23" s="264" t="s">
        <v>86</v>
      </c>
      <c r="J23" s="264" t="s">
        <v>85</v>
      </c>
      <c r="K23" s="264" t="s">
        <v>32</v>
      </c>
      <c r="Y23" s="281"/>
    </row>
    <row r="24" spans="1:52" s="256" customFormat="1" x14ac:dyDescent="0.3">
      <c r="A24" s="75" t="s">
        <v>18</v>
      </c>
      <c r="B24" s="75">
        <f>[5]Mode_l_t_b0!B2</f>
        <v>66.206999999999994</v>
      </c>
      <c r="C24" s="278">
        <f>[5]Mode_l_t_b0!C2</f>
        <v>43.514616892347199</v>
      </c>
      <c r="D24" s="278">
        <f>[5]Mode_l_t_b0!D2</f>
        <v>88.899362418405701</v>
      </c>
      <c r="E24" s="278">
        <f>[5]Mode_l_t_b0!E2</f>
        <v>10.45</v>
      </c>
      <c r="F24" s="278">
        <f>[5]Mode_l_t_b0!F2</f>
        <v>6.3360000000000003</v>
      </c>
      <c r="G24" s="278">
        <f>[5]Mode_l_t_b0!G2</f>
        <v>12.38</v>
      </c>
      <c r="H24" s="277">
        <f>[5]Mode_l_t_b0!H2</f>
        <v>3.3000000000000003E-5</v>
      </c>
      <c r="I24" s="276">
        <f>[5]Mode_l_t_b0!I2</f>
        <v>5.3000000000000001E-5</v>
      </c>
      <c r="J24" s="275" t="str">
        <f>[5]Mode_l_t_b0!J2</f>
        <v>p&lt;0.0001</v>
      </c>
      <c r="K24" s="258">
        <f>Table510[[#This Row],[estimate]]-Table510[[#This Row],[2.5% CI]]</f>
        <v>22.692383107652795</v>
      </c>
      <c r="L24" s="279"/>
      <c r="X24" s="279"/>
      <c r="Y24" s="274"/>
      <c r="Z24" s="279"/>
      <c r="AH24" s="279"/>
      <c r="AI24" s="279"/>
    </row>
    <row r="25" spans="1:52" s="256" customFormat="1" x14ac:dyDescent="0.3">
      <c r="A25" s="75" t="s">
        <v>19</v>
      </c>
      <c r="B25" s="75">
        <f>[5]Mode_l_t_b0!B3</f>
        <v>66.611000000000004</v>
      </c>
      <c r="C25" s="278">
        <f>[5]Mode_l_t_b0!C3</f>
        <v>43.916594525232803</v>
      </c>
      <c r="D25" s="278">
        <f>[5]Mode_l_t_b0!D3</f>
        <v>89.304848267984895</v>
      </c>
      <c r="E25" s="278">
        <f>[5]Mode_l_t_b0!E3</f>
        <v>10.451000000000001</v>
      </c>
      <c r="F25" s="278">
        <f>[5]Mode_l_t_b0!F3</f>
        <v>6.3730000000000002</v>
      </c>
      <c r="G25" s="278">
        <f>[5]Mode_l_t_b0!G3</f>
        <v>12.38</v>
      </c>
      <c r="H25" s="277">
        <f>[5]Mode_l_t_b0!H3</f>
        <v>3.1000000000000001E-5</v>
      </c>
      <c r="I25" s="276">
        <f>[5]Mode_l_t_b0!I3</f>
        <v>5.1E-5</v>
      </c>
      <c r="J25" s="275" t="str">
        <f>[5]Mode_l_t_b0!J3</f>
        <v>p&lt;0.0001</v>
      </c>
      <c r="K25" s="258">
        <f>Table510[[#This Row],[estimate]]-Table510[[#This Row],[2.5% CI]]</f>
        <v>22.694405474767201</v>
      </c>
      <c r="L25" s="279"/>
      <c r="X25" s="279"/>
      <c r="Y25" s="274"/>
      <c r="Z25" s="279"/>
      <c r="AH25" s="279"/>
      <c r="AI25" s="279"/>
      <c r="AQ25" s="279"/>
    </row>
    <row r="26" spans="1:52" s="256" customFormat="1" x14ac:dyDescent="0.3">
      <c r="A26" s="75" t="s">
        <v>20</v>
      </c>
      <c r="B26" s="75">
        <f>[5]Mode_l_t_b0!B4</f>
        <v>63.911999999999999</v>
      </c>
      <c r="C26" s="278">
        <f>[5]Mode_l_t_b0!C4</f>
        <v>41.242903273445002</v>
      </c>
      <c r="D26" s="278">
        <f>[5]Mode_l_t_b0!D4</f>
        <v>86.580525272490505</v>
      </c>
      <c r="E26" s="278">
        <f>[5]Mode_l_t_b0!E4</f>
        <v>10.433</v>
      </c>
      <c r="F26" s="278">
        <f>[5]Mode_l_t_b0!F4</f>
        <v>6.1260000000000003</v>
      </c>
      <c r="G26" s="278">
        <f>[5]Mode_l_t_b0!G4</f>
        <v>12.3</v>
      </c>
      <c r="H26" s="277">
        <f>[5]Mode_l_t_b0!H4</f>
        <v>4.6E-5</v>
      </c>
      <c r="I26" s="276">
        <f>[5]Mode_l_t_b0!I4</f>
        <v>7.2999999999999999E-5</v>
      </c>
      <c r="J26" s="275" t="str">
        <f>[5]Mode_l_t_b0!J4</f>
        <v>p&lt;0.0001</v>
      </c>
      <c r="K26" s="258">
        <f>Table510[[#This Row],[estimate]]-Table510[[#This Row],[2.5% CI]]</f>
        <v>22.669096726554997</v>
      </c>
      <c r="L26" s="279"/>
      <c r="X26" s="279"/>
      <c r="Y26" s="274"/>
      <c r="Z26" s="279"/>
      <c r="AH26" s="279"/>
      <c r="AI26" s="279"/>
      <c r="AZ26" s="279"/>
    </row>
    <row r="27" spans="1:52" s="256" customFormat="1" x14ac:dyDescent="0.3">
      <c r="A27" s="77" t="s">
        <v>21</v>
      </c>
      <c r="B27" s="77">
        <f>[5]Mode_l_t_b0!B5</f>
        <v>45.158999999999999</v>
      </c>
      <c r="C27" s="278">
        <f>[5]Mode_l_t_b0!C5</f>
        <v>22.545726930497</v>
      </c>
      <c r="D27" s="278">
        <f>[5]Mode_l_t_b0!D5</f>
        <v>67.771491195103906</v>
      </c>
      <c r="E27" s="278">
        <f>[5]Mode_l_t_b0!E5</f>
        <v>10.391999999999999</v>
      </c>
      <c r="F27" s="278">
        <f>[5]Mode_l_t_b0!F5</f>
        <v>4.3460000000000001</v>
      </c>
      <c r="G27" s="278">
        <f>[5]Mode_l_t_b0!G5</f>
        <v>12.14</v>
      </c>
      <c r="H27" s="277">
        <f>[5]Mode_l_t_b0!H5</f>
        <v>9.3000000000000005E-4</v>
      </c>
      <c r="I27" s="276">
        <f>[5]Mode_l_t_b0!I5</f>
        <v>1E-3</v>
      </c>
      <c r="J27" s="275" t="str">
        <f>[5]Mode_l_t_b0!J5</f>
        <v>p&lt;0.01</v>
      </c>
      <c r="K27" s="258">
        <f>Table510[[#This Row],[estimate]]-Table510[[#This Row],[2.5% CI]]</f>
        <v>22.613273069502998</v>
      </c>
      <c r="Y27" s="274"/>
    </row>
    <row r="28" spans="1:52" s="256" customFormat="1" ht="25.8" x14ac:dyDescent="0.3">
      <c r="A28" s="270" t="s">
        <v>14</v>
      </c>
      <c r="B28" s="270"/>
      <c r="C28" s="271"/>
      <c r="D28" s="271"/>
      <c r="E28" s="271"/>
      <c r="F28" s="4"/>
      <c r="G28" s="4"/>
      <c r="H28" s="4"/>
      <c r="I28" s="4"/>
      <c r="J28" s="269"/>
      <c r="K28" s="273"/>
      <c r="L28" s="272"/>
      <c r="AC28" s="268"/>
    </row>
    <row r="29" spans="1:52" s="4" customFormat="1" ht="25.8" x14ac:dyDescent="0.3">
      <c r="A29" s="267" t="s">
        <v>0</v>
      </c>
      <c r="B29" s="263" t="s">
        <v>89</v>
      </c>
      <c r="C29" s="265" t="s">
        <v>10</v>
      </c>
      <c r="D29" s="265" t="s">
        <v>11</v>
      </c>
      <c r="E29" s="265" t="s">
        <v>7</v>
      </c>
      <c r="F29" s="264" t="s">
        <v>88</v>
      </c>
      <c r="G29" s="264" t="s">
        <v>12</v>
      </c>
      <c r="H29" s="264" t="s">
        <v>87</v>
      </c>
      <c r="I29" s="264" t="s">
        <v>86</v>
      </c>
      <c r="J29" s="264" t="s">
        <v>85</v>
      </c>
      <c r="K29" s="263" t="s">
        <v>32</v>
      </c>
      <c r="AB29" s="262"/>
    </row>
    <row r="30" spans="1:52" x14ac:dyDescent="0.3">
      <c r="A30" s="75" t="str">
        <f>A24</f>
        <v>MDC</v>
      </c>
      <c r="B30" s="75">
        <f>[6]Mode_h_t_b0!B2</f>
        <v>267.09500000000003</v>
      </c>
      <c r="C30" s="50">
        <f>[6]Mode_h_t_b0!C2</f>
        <v>186.65039216949501</v>
      </c>
      <c r="D30" s="50">
        <f>[6]Mode_h_t_b0!D2</f>
        <v>347.53945100447299</v>
      </c>
      <c r="E30" s="50">
        <f>[6]Mode_h_t_b0!E2</f>
        <v>31.193000000000001</v>
      </c>
      <c r="F30" s="51">
        <f>[6]Mode_h_t_b0!F2</f>
        <v>8.5630000000000006</v>
      </c>
      <c r="G30" s="51">
        <f>[6]Mode_h_t_b0!G2</f>
        <v>4.95</v>
      </c>
      <c r="H30" s="259">
        <f>[6]Mode_h_t_b0!H2</f>
        <v>3.8000000000000002E-4</v>
      </c>
      <c r="I30" s="259">
        <f>[6]Mode_h_t_b0!I2</f>
        <v>5.4000000000000001E-4</v>
      </c>
      <c r="J30" s="51" t="str">
        <f>[6]Mode_h_t_b0!J2</f>
        <v>p&lt;0.001</v>
      </c>
      <c r="K30" s="258">
        <f>B30-C30</f>
        <v>80.444607830505021</v>
      </c>
      <c r="L30" s="249"/>
      <c r="M30" s="249"/>
      <c r="N30" s="249"/>
      <c r="O30" s="249"/>
      <c r="P30" s="249"/>
      <c r="Y30" s="253"/>
      <c r="AB30" s="249"/>
    </row>
    <row r="31" spans="1:52" s="256" customFormat="1" x14ac:dyDescent="0.3">
      <c r="A31" s="75" t="str">
        <f>A25</f>
        <v>MWH</v>
      </c>
      <c r="B31" s="75">
        <f>[6]Mode_h_t_b0!B3</f>
        <v>266.72199999999998</v>
      </c>
      <c r="C31" s="50">
        <f>[6]Mode_h_t_b0!C3</f>
        <v>186.278721708294</v>
      </c>
      <c r="D31" s="50">
        <f>[6]Mode_h_t_b0!D3</f>
        <v>347.16607047559103</v>
      </c>
      <c r="E31" s="50">
        <f>[6]Mode_h_t_b0!E3</f>
        <v>31.195</v>
      </c>
      <c r="F31" s="51">
        <f>[6]Mode_h_t_b0!F3</f>
        <v>8.5500000000000007</v>
      </c>
      <c r="G31" s="51">
        <f>[6]Mode_h_t_b0!G3</f>
        <v>4.95</v>
      </c>
      <c r="H31" s="259">
        <f>[6]Mode_h_t_b0!H3</f>
        <v>3.8000000000000002E-4</v>
      </c>
      <c r="I31" s="259">
        <f>[6]Mode_h_t_b0!I3</f>
        <v>5.4000000000000001E-4</v>
      </c>
      <c r="J31" s="51" t="str">
        <f>[6]Mode_h_t_b0!J3</f>
        <v>p&lt;0.001</v>
      </c>
      <c r="K31" s="258">
        <f>B31-C31</f>
        <v>80.44327829170598</v>
      </c>
      <c r="Y31" s="257"/>
    </row>
    <row r="32" spans="1:52" s="256" customFormat="1" x14ac:dyDescent="0.3">
      <c r="A32" s="75" t="str">
        <f>A26</f>
        <v>MYN</v>
      </c>
      <c r="B32" s="75">
        <f>[6]Mode_h_t_b0!B4</f>
        <v>264.61700000000002</v>
      </c>
      <c r="C32" s="50">
        <f>[6]Mode_h_t_b0!C4</f>
        <v>184.165229815256</v>
      </c>
      <c r="D32" s="50">
        <f>[6]Mode_h_t_b0!D4</f>
        <v>345.06958318293903</v>
      </c>
      <c r="E32" s="50">
        <f>[6]Mode_h_t_b0!E4</f>
        <v>31.178999999999998</v>
      </c>
      <c r="F32" s="51">
        <f>[6]Mode_h_t_b0!F4</f>
        <v>8.4870000000000001</v>
      </c>
      <c r="G32" s="51">
        <f>[6]Mode_h_t_b0!G4</f>
        <v>4.9400000000000004</v>
      </c>
      <c r="H32" s="259">
        <f>[6]Mode_h_t_b0!H4</f>
        <v>4.0000000000000002E-4</v>
      </c>
      <c r="I32" s="259">
        <f>[6]Mode_h_t_b0!I4</f>
        <v>5.5999999999999995E-4</v>
      </c>
      <c r="J32" s="51" t="str">
        <f>[6]Mode_h_t_b0!J4</f>
        <v>p&lt;0.001</v>
      </c>
      <c r="K32" s="258">
        <f>B32-C32</f>
        <v>80.451770184744021</v>
      </c>
      <c r="Y32" s="257"/>
    </row>
    <row r="33" spans="1:25" s="256" customFormat="1" x14ac:dyDescent="0.3">
      <c r="A33" s="75" t="str">
        <f>A27</f>
        <v>MDQ</v>
      </c>
      <c r="B33" s="77">
        <f>[6]Mode_h_t_b0!B5</f>
        <v>250.261</v>
      </c>
      <c r="C33" s="50">
        <f>[6]Mode_h_t_b0!C5</f>
        <v>169.79078240875299</v>
      </c>
      <c r="D33" s="50">
        <f>[6]Mode_h_t_b0!D5</f>
        <v>330.73051939626401</v>
      </c>
      <c r="E33" s="50">
        <f>[6]Mode_h_t_b0!E5</f>
        <v>31.146000000000001</v>
      </c>
      <c r="F33" s="51">
        <f>[6]Mode_h_t_b0!F5</f>
        <v>8.0350000000000001</v>
      </c>
      <c r="G33" s="51">
        <f>[6]Mode_h_t_b0!G5</f>
        <v>4.92</v>
      </c>
      <c r="H33" s="259">
        <f>[6]Mode_h_t_b0!H5</f>
        <v>5.1999999999999995E-4</v>
      </c>
      <c r="I33" s="259">
        <f>[6]Mode_h_t_b0!I5</f>
        <v>6.4999999999999997E-4</v>
      </c>
      <c r="J33" s="51" t="str">
        <f>[6]Mode_h_t_b0!J5</f>
        <v>p&lt;0.001</v>
      </c>
      <c r="K33" s="258">
        <f>B33-C33</f>
        <v>80.470217591247007</v>
      </c>
      <c r="Y33" s="257"/>
    </row>
    <row r="34" spans="1:25" x14ac:dyDescent="0.3">
      <c r="D34" s="254"/>
    </row>
    <row r="35" spans="1:25" ht="29.4" x14ac:dyDescent="0.3">
      <c r="A35" s="270" t="s">
        <v>15</v>
      </c>
      <c r="B35" s="4"/>
      <c r="C35" s="271"/>
      <c r="D35" s="284"/>
      <c r="E35" s="4"/>
      <c r="F35" s="4"/>
      <c r="G35" s="4"/>
      <c r="H35" s="4"/>
      <c r="I35" s="4"/>
      <c r="J35" s="4"/>
      <c r="K35" s="4"/>
    </row>
    <row r="36" spans="1:25" x14ac:dyDescent="0.3">
      <c r="A36" s="282" t="s">
        <v>0</v>
      </c>
      <c r="B36" s="264" t="s">
        <v>89</v>
      </c>
      <c r="C36" s="264" t="s">
        <v>10</v>
      </c>
      <c r="D36" s="264" t="s">
        <v>11</v>
      </c>
      <c r="E36" s="264" t="s">
        <v>7</v>
      </c>
      <c r="F36" s="264" t="s">
        <v>88</v>
      </c>
      <c r="G36" s="264" t="s">
        <v>12</v>
      </c>
      <c r="H36" s="264" t="s">
        <v>87</v>
      </c>
      <c r="I36" s="264" t="s">
        <v>86</v>
      </c>
      <c r="J36" s="264" t="s">
        <v>85</v>
      </c>
      <c r="K36" s="264" t="s">
        <v>32</v>
      </c>
    </row>
    <row r="37" spans="1:25" x14ac:dyDescent="0.3">
      <c r="A37" s="75" t="e">
        <f>Table510[[#This Row],[Predictors]]</f>
        <v>#VALUE!</v>
      </c>
      <c r="B37" s="261">
        <f>[7]Mode_l_f0_b0!B2</f>
        <v>84.262</v>
      </c>
      <c r="C37" s="50">
        <f>[7]Mode_l_f0_b0!C2</f>
        <v>80.634898090073094</v>
      </c>
      <c r="D37" s="50">
        <f>[7]Mode_l_f0_b0!D2</f>
        <v>87.889521622177298</v>
      </c>
      <c r="E37" s="50">
        <f>[7]Mode_l_f0_b0!E2</f>
        <v>1.657</v>
      </c>
      <c r="F37" s="51">
        <f>[7]Mode_l_f0_b0!F2</f>
        <v>50.838000000000001</v>
      </c>
      <c r="G37" s="51">
        <f>[7]Mode_l_f0_b0!G2</f>
        <v>11.54</v>
      </c>
      <c r="H37" s="259">
        <f>[7]Mode_l_f0_b0!H2</f>
        <v>6.1999999999999998E-15</v>
      </c>
      <c r="I37" s="259">
        <f>[7]Mode_l_f0_b0!I2</f>
        <v>2E-14</v>
      </c>
      <c r="J37" s="51" t="str">
        <f>[7]Mode_l_f0_b0!J2</f>
        <v>p&lt;0.0001</v>
      </c>
      <c r="K37" s="258">
        <f>B37-C37</f>
        <v>3.6271019099269068</v>
      </c>
    </row>
    <row r="38" spans="1:25" x14ac:dyDescent="0.3">
      <c r="A38" s="75" t="e">
        <f>Table510[[#This Row],[Predictors]]</f>
        <v>#VALUE!</v>
      </c>
      <c r="B38" s="261">
        <f>[7]Mode_l_f0_b0!B3</f>
        <v>84.387</v>
      </c>
      <c r="C38" s="50">
        <f>[7]Mode_l_f0_b0!C3</f>
        <v>80.759157436588893</v>
      </c>
      <c r="D38" s="50">
        <f>[7]Mode_l_f0_b0!D3</f>
        <v>88.013981670640902</v>
      </c>
      <c r="E38" s="50">
        <f>[7]Mode_l_f0_b0!E3</f>
        <v>1.6579999999999999</v>
      </c>
      <c r="F38" s="51">
        <f>[7]Mode_l_f0_b0!F3</f>
        <v>50.911000000000001</v>
      </c>
      <c r="G38" s="51">
        <f>[7]Mode_l_f0_b0!G3</f>
        <v>11.54</v>
      </c>
      <c r="H38" s="259">
        <f>[7]Mode_l_f0_b0!H3</f>
        <v>5.9999999999999997E-15</v>
      </c>
      <c r="I38" s="259">
        <f>[7]Mode_l_f0_b0!I3</f>
        <v>2E-14</v>
      </c>
      <c r="J38" s="51" t="str">
        <f>[7]Mode_l_f0_b0!J3</f>
        <v>p&lt;0.0001</v>
      </c>
      <c r="K38" s="258">
        <f>B38-C38</f>
        <v>3.6278425634111073</v>
      </c>
    </row>
    <row r="39" spans="1:25" x14ac:dyDescent="0.3">
      <c r="A39" s="75" t="e">
        <f>Table510[[#This Row],[Predictors]]</f>
        <v>#VALUE!</v>
      </c>
      <c r="B39" s="261">
        <f>[7]Mode_l_f0_b0!B4</f>
        <v>85.884</v>
      </c>
      <c r="C39" s="50">
        <f>[7]Mode_l_f0_b0!C4</f>
        <v>82.257315012199697</v>
      </c>
      <c r="D39" s="50">
        <f>[7]Mode_l_f0_b0!D4</f>
        <v>89.509953450877504</v>
      </c>
      <c r="E39" s="50">
        <f>[7]Mode_l_f0_b0!E4</f>
        <v>1.657</v>
      </c>
      <c r="F39" s="51">
        <f>[7]Mode_l_f0_b0!F4</f>
        <v>51.843000000000004</v>
      </c>
      <c r="G39" s="51">
        <f>[7]Mode_l_f0_b0!G4</f>
        <v>11.52</v>
      </c>
      <c r="H39" s="259">
        <f>[7]Mode_l_f0_b0!H4</f>
        <v>5.2000000000000001E-15</v>
      </c>
      <c r="I39" s="259">
        <f>[7]Mode_l_f0_b0!I4</f>
        <v>1.7999999999999999E-14</v>
      </c>
      <c r="J39" s="51" t="str">
        <f>[7]Mode_l_f0_b0!J4</f>
        <v>p&lt;0.0001</v>
      </c>
      <c r="K39" s="258">
        <f>B39-C39</f>
        <v>3.6266849878003029</v>
      </c>
    </row>
    <row r="40" spans="1:25" x14ac:dyDescent="0.3">
      <c r="A40" s="75" t="e">
        <f>Table510[[#This Row],[Predictors]]</f>
        <v>#VALUE!</v>
      </c>
      <c r="B40" s="260">
        <f>[7]Mode_l_f0_b0!B5</f>
        <v>86.745000000000005</v>
      </c>
      <c r="C40" s="50">
        <f>[7]Mode_l_f0_b0!C5</f>
        <v>83.120559517265207</v>
      </c>
      <c r="D40" s="50">
        <f>[7]Mode_l_f0_b0!D5</f>
        <v>90.369299039297601</v>
      </c>
      <c r="E40" s="50">
        <f>[7]Mode_l_f0_b0!E5</f>
        <v>1.655</v>
      </c>
      <c r="F40" s="51">
        <f>[7]Mode_l_f0_b0!F5</f>
        <v>52.414000000000001</v>
      </c>
      <c r="G40" s="51">
        <f>[7]Mode_l_f0_b0!G5</f>
        <v>11.47</v>
      </c>
      <c r="H40" s="259">
        <f>[7]Mode_l_f0_b0!H5</f>
        <v>5.1E-15</v>
      </c>
      <c r="I40" s="259">
        <f>[7]Mode_l_f0_b0!I5</f>
        <v>1.7999999999999999E-14</v>
      </c>
      <c r="J40" s="51" t="str">
        <f>[7]Mode_l_f0_b0!J5</f>
        <v>p&lt;0.0001</v>
      </c>
      <c r="K40" s="258">
        <f>B40-C40</f>
        <v>3.6244404827347978</v>
      </c>
    </row>
    <row r="41" spans="1:25" ht="29.4" x14ac:dyDescent="0.3">
      <c r="A41" s="270" t="s">
        <v>16</v>
      </c>
      <c r="B41" s="271"/>
      <c r="C41" s="270"/>
      <c r="D41" s="269"/>
      <c r="E41" s="4"/>
      <c r="F41" s="4"/>
      <c r="G41" s="4"/>
      <c r="H41" s="4"/>
      <c r="I41" s="4"/>
      <c r="J41" s="4"/>
      <c r="K41" s="4"/>
    </row>
    <row r="42" spans="1:25" x14ac:dyDescent="0.3">
      <c r="A42" s="267" t="s">
        <v>0</v>
      </c>
      <c r="B42" s="266" t="s">
        <v>89</v>
      </c>
      <c r="C42" s="265" t="s">
        <v>10</v>
      </c>
      <c r="D42" s="265" t="s">
        <v>11</v>
      </c>
      <c r="E42" s="265" t="s">
        <v>7</v>
      </c>
      <c r="F42" s="264" t="s">
        <v>88</v>
      </c>
      <c r="G42" s="264" t="s">
        <v>12</v>
      </c>
      <c r="H42" s="264" t="s">
        <v>87</v>
      </c>
      <c r="I42" s="264" t="s">
        <v>86</v>
      </c>
      <c r="J42" s="264" t="s">
        <v>85</v>
      </c>
      <c r="K42" s="263" t="s">
        <v>32</v>
      </c>
    </row>
    <row r="43" spans="1:25" x14ac:dyDescent="0.3">
      <c r="A43" s="75" t="str">
        <f>A24</f>
        <v>MDC</v>
      </c>
      <c r="B43" s="261">
        <f>[8]Mode_h_f0_b0!B2</f>
        <v>90.093999999999994</v>
      </c>
      <c r="C43" s="50">
        <f>[8]Mode_h_f0_b0!C2</f>
        <v>86.076363660855506</v>
      </c>
      <c r="D43" s="50">
        <f>[8]Mode_h_f0_b0!D2</f>
        <v>94.112041878367805</v>
      </c>
      <c r="E43" s="50">
        <f>[8]Mode_h_f0_b0!E2</f>
        <v>1.78</v>
      </c>
      <c r="F43" s="51">
        <f>[8]Mode_h_f0_b0!F2</f>
        <v>50.613</v>
      </c>
      <c r="G43" s="51">
        <f>[8]Mode_h_f0_b0!G2</f>
        <v>9.1300000000000008</v>
      </c>
      <c r="H43" s="259">
        <f>[8]Mode_h_f0_b0!H2</f>
        <v>1.7E-12</v>
      </c>
      <c r="I43" s="259">
        <f>[8]Mode_h_f0_b0!I2</f>
        <v>3.8999999999999999E-12</v>
      </c>
      <c r="J43" s="51" t="str">
        <f>[8]Mode_h_f0_b0!J2</f>
        <v>p&lt;0.0001</v>
      </c>
      <c r="K43" s="258">
        <f>B43-C43</f>
        <v>4.017636339144488</v>
      </c>
    </row>
    <row r="44" spans="1:25" x14ac:dyDescent="0.3">
      <c r="A44" s="75" t="str">
        <f>A25</f>
        <v>MWH</v>
      </c>
      <c r="B44" s="261">
        <f>[8]Mode_h_f0_b0!B3</f>
        <v>90.501000000000005</v>
      </c>
      <c r="C44" s="50">
        <f>[8]Mode_h_f0_b0!C3</f>
        <v>86.482542607305106</v>
      </c>
      <c r="D44" s="50">
        <f>[8]Mode_h_f0_b0!D3</f>
        <v>94.518498929950795</v>
      </c>
      <c r="E44" s="50">
        <f>[8]Mode_h_f0_b0!E3</f>
        <v>1.78</v>
      </c>
      <c r="F44" s="51">
        <f>[8]Mode_h_f0_b0!F3</f>
        <v>50.837000000000003</v>
      </c>
      <c r="G44" s="51">
        <f>[8]Mode_h_f0_b0!G3</f>
        <v>9.14</v>
      </c>
      <c r="H44" s="259">
        <f>[8]Mode_h_f0_b0!H3</f>
        <v>1.6E-12</v>
      </c>
      <c r="I44" s="259">
        <f>[8]Mode_h_f0_b0!I3</f>
        <v>3.7E-12</v>
      </c>
      <c r="J44" s="51" t="str">
        <f>[8]Mode_h_f0_b0!J3</f>
        <v>p&lt;0.0001</v>
      </c>
      <c r="K44" s="258">
        <f>B44-C44</f>
        <v>4.0184573926948985</v>
      </c>
    </row>
    <row r="45" spans="1:25" x14ac:dyDescent="0.3">
      <c r="A45" s="75" t="str">
        <f>A26</f>
        <v>MYN</v>
      </c>
      <c r="B45" s="261">
        <f>[8]Mode_h_f0_b0!B4</f>
        <v>91.813000000000002</v>
      </c>
      <c r="C45" s="50">
        <f>[8]Mode_h_f0_b0!C4</f>
        <v>87.796729947601094</v>
      </c>
      <c r="D45" s="50">
        <f>[8]Mode_h_f0_b0!D4</f>
        <v>95.829644685119007</v>
      </c>
      <c r="E45" s="50">
        <f>[8]Mode_h_f0_b0!E4</f>
        <v>1.7789999999999999</v>
      </c>
      <c r="F45" s="51">
        <f>[8]Mode_h_f0_b0!F4</f>
        <v>51.621000000000002</v>
      </c>
      <c r="G45" s="51">
        <f>[8]Mode_h_f0_b0!G4</f>
        <v>9.1</v>
      </c>
      <c r="H45" s="259">
        <f>[8]Mode_h_f0_b0!H4</f>
        <v>1.5000000000000001E-12</v>
      </c>
      <c r="I45" s="259">
        <f>[8]Mode_h_f0_b0!I4</f>
        <v>3.6E-12</v>
      </c>
      <c r="J45" s="51" t="str">
        <f>[8]Mode_h_f0_b0!J4</f>
        <v>p&lt;0.0001</v>
      </c>
      <c r="K45" s="258">
        <f>B45-C45</f>
        <v>4.0162700523989088</v>
      </c>
    </row>
    <row r="46" spans="1:25" x14ac:dyDescent="0.3">
      <c r="A46" s="75" t="str">
        <f>A27</f>
        <v>MDQ</v>
      </c>
      <c r="B46" s="260">
        <f>[8]Mode_h_f0_b0!B5</f>
        <v>94.606999999999999</v>
      </c>
      <c r="C46" s="50">
        <f>[8]Mode_h_f0_b0!C5</f>
        <v>90.593224015084004</v>
      </c>
      <c r="D46" s="50">
        <f>[8]Mode_h_f0_b0!D5</f>
        <v>98.620264099471996</v>
      </c>
      <c r="E46" s="50">
        <f>[8]Mode_h_f0_b0!E5</f>
        <v>1.776</v>
      </c>
      <c r="F46" s="51">
        <f>[8]Mode_h_f0_b0!F5</f>
        <v>53.283999999999999</v>
      </c>
      <c r="G46" s="51">
        <f>[8]Mode_h_f0_b0!G5</f>
        <v>9.0399999999999991</v>
      </c>
      <c r="H46" s="259">
        <f>[8]Mode_h_f0_b0!H5</f>
        <v>1.2999999999999999E-12</v>
      </c>
      <c r="I46" s="259">
        <f>[8]Mode_h_f0_b0!I5</f>
        <v>3.2000000000000001E-12</v>
      </c>
      <c r="J46" s="51" t="str">
        <f>[8]Mode_h_f0_b0!J5</f>
        <v>p&lt;0.0001</v>
      </c>
      <c r="K46" s="258">
        <f>B46-C46</f>
        <v>4.0137759849159949</v>
      </c>
    </row>
  </sheetData>
  <conditionalFormatting sqref="K43:K46 K37:K40">
    <cfRule type="cellIs" dxfId="316" priority="83" operator="lessThan">
      <formula>0.05</formula>
    </cfRule>
  </conditionalFormatting>
  <conditionalFormatting sqref="H2:I5">
    <cfRule type="cellIs" dxfId="315" priority="79" stopIfTrue="1" operator="lessThan">
      <formula>0.0001</formula>
    </cfRule>
    <cfRule type="cellIs" dxfId="314" priority="80" stopIfTrue="1" operator="lessThan">
      <formula>0.001</formula>
    </cfRule>
    <cfRule type="cellIs" dxfId="313" priority="81" stopIfTrue="1" operator="lessThan">
      <formula>0.05</formula>
    </cfRule>
    <cfRule type="cellIs" dxfId="312" priority="82" stopIfTrue="1" operator="lessThan">
      <formula>0.1</formula>
    </cfRule>
  </conditionalFormatting>
  <conditionalFormatting sqref="J2:J5">
    <cfRule type="containsText" dxfId="311" priority="74" stopIfTrue="1" operator="containsText" text="p&lt;0.0001">
      <formula>NOT(ISERROR(SEARCH("p&lt;0.0001",J2)))</formula>
    </cfRule>
    <cfRule type="containsText" dxfId="310" priority="75" stopIfTrue="1" operator="containsText" text="p&lt;0.001">
      <formula>NOT(ISERROR(SEARCH("p&lt;0.001",J2)))</formula>
    </cfRule>
    <cfRule type="containsText" dxfId="309" priority="76" stopIfTrue="1" operator="containsText" text="p&lt;0.01">
      <formula>NOT(ISERROR(SEARCH("p&lt;0.01",J2)))</formula>
    </cfRule>
    <cfRule type="containsText" dxfId="308" priority="77" stopIfTrue="1" operator="containsText" text="p&lt;0.05">
      <formula>NOT(ISERROR(SEARCH("p&lt;0.05",J2)))</formula>
    </cfRule>
    <cfRule type="containsText" dxfId="307" priority="78" stopIfTrue="1" operator="containsText" text="p&lt;0.1">
      <formula>NOT(ISERROR(SEARCH("p&lt;0.1",J2)))</formula>
    </cfRule>
  </conditionalFormatting>
  <conditionalFormatting sqref="H7:I9">
    <cfRule type="cellIs" dxfId="306" priority="70" stopIfTrue="1" operator="lessThan">
      <formula>0.0001</formula>
    </cfRule>
    <cfRule type="cellIs" dxfId="305" priority="71" stopIfTrue="1" operator="lessThan">
      <formula>0.001</formula>
    </cfRule>
    <cfRule type="cellIs" dxfId="304" priority="72" stopIfTrue="1" operator="lessThan">
      <formula>0.05</formula>
    </cfRule>
    <cfRule type="cellIs" dxfId="303" priority="73" stopIfTrue="1" operator="lessThan">
      <formula>0.1</formula>
    </cfRule>
  </conditionalFormatting>
  <conditionalFormatting sqref="J7:J9">
    <cfRule type="containsText" dxfId="302" priority="65" stopIfTrue="1" operator="containsText" text="p&lt;0.0001">
      <formula>NOT(ISERROR(SEARCH("p&lt;0.0001",J7)))</formula>
    </cfRule>
    <cfRule type="containsText" dxfId="301" priority="66" stopIfTrue="1" operator="containsText" text="p&lt;0.001">
      <formula>NOT(ISERROR(SEARCH("p&lt;0.001",J7)))</formula>
    </cfRule>
    <cfRule type="containsText" dxfId="300" priority="67" stopIfTrue="1" operator="containsText" text="p&lt;0.01">
      <formula>NOT(ISERROR(SEARCH("p&lt;0.01",J7)))</formula>
    </cfRule>
    <cfRule type="containsText" dxfId="299" priority="68" stopIfTrue="1" operator="containsText" text="p&lt;0.05">
      <formula>NOT(ISERROR(SEARCH("p&lt;0.05",J7)))</formula>
    </cfRule>
    <cfRule type="containsText" dxfId="298" priority="69" stopIfTrue="1" operator="containsText" text="p&lt;0.1">
      <formula>NOT(ISERROR(SEARCH("p&lt;0.1",J7)))</formula>
    </cfRule>
  </conditionalFormatting>
  <conditionalFormatting sqref="H12:I14">
    <cfRule type="cellIs" dxfId="297" priority="61" stopIfTrue="1" operator="lessThan">
      <formula>0.0001</formula>
    </cfRule>
    <cfRule type="cellIs" dxfId="296" priority="62" stopIfTrue="1" operator="lessThan">
      <formula>0.001</formula>
    </cfRule>
    <cfRule type="cellIs" dxfId="295" priority="63" stopIfTrue="1" operator="lessThan">
      <formula>0.05</formula>
    </cfRule>
    <cfRule type="cellIs" dxfId="294" priority="64" stopIfTrue="1" operator="lessThan">
      <formula>0.1</formula>
    </cfRule>
  </conditionalFormatting>
  <conditionalFormatting sqref="J12:J14">
    <cfRule type="containsText" dxfId="293" priority="56" stopIfTrue="1" operator="containsText" text="p&lt;0.0001">
      <formula>NOT(ISERROR(SEARCH("p&lt;0.0001",J12)))</formula>
    </cfRule>
    <cfRule type="containsText" dxfId="292" priority="57" stopIfTrue="1" operator="containsText" text="p&lt;0.001">
      <formula>NOT(ISERROR(SEARCH("p&lt;0.001",J12)))</formula>
    </cfRule>
    <cfRule type="containsText" dxfId="291" priority="58" stopIfTrue="1" operator="containsText" text="p&lt;0.01">
      <formula>NOT(ISERROR(SEARCH("p&lt;0.01",J12)))</formula>
    </cfRule>
    <cfRule type="containsText" dxfId="290" priority="59" stopIfTrue="1" operator="containsText" text="p&lt;0.05">
      <formula>NOT(ISERROR(SEARCH("p&lt;0.05",J12)))</formula>
    </cfRule>
    <cfRule type="containsText" dxfId="289" priority="60" stopIfTrue="1" operator="containsText" text="p&lt;0.1">
      <formula>NOT(ISERROR(SEARCH("p&lt;0.1",J12)))</formula>
    </cfRule>
  </conditionalFormatting>
  <conditionalFormatting sqref="H17:I18 H20:I20">
    <cfRule type="cellIs" dxfId="288" priority="52" stopIfTrue="1" operator="lessThan">
      <formula>0.0001</formula>
    </cfRule>
    <cfRule type="cellIs" dxfId="287" priority="53" stopIfTrue="1" operator="lessThan">
      <formula>0.001</formula>
    </cfRule>
    <cfRule type="cellIs" dxfId="286" priority="54" stopIfTrue="1" operator="lessThan">
      <formula>0.05</formula>
    </cfRule>
    <cfRule type="cellIs" dxfId="285" priority="55" stopIfTrue="1" operator="lessThan">
      <formula>0.1</formula>
    </cfRule>
  </conditionalFormatting>
  <conditionalFormatting sqref="J17:J18 J20">
    <cfRule type="containsText" dxfId="284" priority="47" stopIfTrue="1" operator="containsText" text="p&lt;0.0001">
      <formula>NOT(ISERROR(SEARCH("p&lt;0.0001",J17)))</formula>
    </cfRule>
    <cfRule type="containsText" dxfId="283" priority="48" stopIfTrue="1" operator="containsText" text="p&lt;0.001">
      <formula>NOT(ISERROR(SEARCH("p&lt;0.001",J17)))</formula>
    </cfRule>
    <cfRule type="containsText" dxfId="282" priority="49" stopIfTrue="1" operator="containsText" text="p&lt;0.01">
      <formula>NOT(ISERROR(SEARCH("p&lt;0.01",J17)))</formula>
    </cfRule>
    <cfRule type="containsText" dxfId="281" priority="50" stopIfTrue="1" operator="containsText" text="p&lt;0.05">
      <formula>NOT(ISERROR(SEARCH("p&lt;0.05",J17)))</formula>
    </cfRule>
    <cfRule type="containsText" dxfId="280" priority="51" stopIfTrue="1" operator="containsText" text="p&lt;0.1">
      <formula>NOT(ISERROR(SEARCH("p&lt;0.1",J17)))</formula>
    </cfRule>
  </conditionalFormatting>
  <conditionalFormatting sqref="H10:I10">
    <cfRule type="cellIs" dxfId="279" priority="25" stopIfTrue="1" operator="lessThan">
      <formula>0.0001</formula>
    </cfRule>
    <cfRule type="cellIs" dxfId="278" priority="26" stopIfTrue="1" operator="lessThan">
      <formula>0.001</formula>
    </cfRule>
    <cfRule type="cellIs" dxfId="277" priority="27" stopIfTrue="1" operator="lessThan">
      <formula>0.05</formula>
    </cfRule>
    <cfRule type="cellIs" dxfId="276" priority="28" stopIfTrue="1" operator="lessThan">
      <formula>0.1</formula>
    </cfRule>
  </conditionalFormatting>
  <conditionalFormatting sqref="J10">
    <cfRule type="containsText" dxfId="275" priority="20" stopIfTrue="1" operator="containsText" text="p&lt;0.0001">
      <formula>NOT(ISERROR(SEARCH("p&lt;0.0001",J10)))</formula>
    </cfRule>
    <cfRule type="containsText" dxfId="274" priority="21" stopIfTrue="1" operator="containsText" text="p&lt;0.001">
      <formula>NOT(ISERROR(SEARCH("p&lt;0.001",J10)))</formula>
    </cfRule>
    <cfRule type="containsText" dxfId="273" priority="22" stopIfTrue="1" operator="containsText" text="p&lt;0.01">
      <formula>NOT(ISERROR(SEARCH("p&lt;0.01",J10)))</formula>
    </cfRule>
    <cfRule type="containsText" dxfId="272" priority="23" stopIfTrue="1" operator="containsText" text="p&lt;0.05">
      <formula>NOT(ISERROR(SEARCH("p&lt;0.05",J10)))</formula>
    </cfRule>
    <cfRule type="containsText" dxfId="271" priority="24" stopIfTrue="1" operator="containsText" text="p&lt;0.1">
      <formula>NOT(ISERROR(SEARCH("p&lt;0.1",J10)))</formula>
    </cfRule>
  </conditionalFormatting>
  <conditionalFormatting sqref="H15:I15">
    <cfRule type="cellIs" dxfId="270" priority="16" stopIfTrue="1" operator="lessThan">
      <formula>0.0001</formula>
    </cfRule>
    <cfRule type="cellIs" dxfId="269" priority="17" stopIfTrue="1" operator="lessThan">
      <formula>0.001</formula>
    </cfRule>
    <cfRule type="cellIs" dxfId="268" priority="18" stopIfTrue="1" operator="lessThan">
      <formula>0.05</formula>
    </cfRule>
    <cfRule type="cellIs" dxfId="267" priority="19" stopIfTrue="1" operator="lessThan">
      <formula>0.1</formula>
    </cfRule>
  </conditionalFormatting>
  <conditionalFormatting sqref="J15">
    <cfRule type="containsText" dxfId="266" priority="11" stopIfTrue="1" operator="containsText" text="p&lt;0.0001">
      <formula>NOT(ISERROR(SEARCH("p&lt;0.0001",J15)))</formula>
    </cfRule>
    <cfRule type="containsText" dxfId="265" priority="12" stopIfTrue="1" operator="containsText" text="p&lt;0.001">
      <formula>NOT(ISERROR(SEARCH("p&lt;0.001",J15)))</formula>
    </cfRule>
    <cfRule type="containsText" dxfId="264" priority="13" stopIfTrue="1" operator="containsText" text="p&lt;0.01">
      <formula>NOT(ISERROR(SEARCH("p&lt;0.01",J15)))</formula>
    </cfRule>
    <cfRule type="containsText" dxfId="263" priority="14" stopIfTrue="1" operator="containsText" text="p&lt;0.05">
      <formula>NOT(ISERROR(SEARCH("p&lt;0.05",J15)))</formula>
    </cfRule>
    <cfRule type="containsText" dxfId="262" priority="15" stopIfTrue="1" operator="containsText" text="p&lt;0.1">
      <formula>NOT(ISERROR(SEARCH("p&lt;0.1",J15)))</formula>
    </cfRule>
  </conditionalFormatting>
  <conditionalFormatting sqref="H19:I19">
    <cfRule type="cellIs" dxfId="261" priority="7" stopIfTrue="1" operator="lessThan">
      <formula>0.0001</formula>
    </cfRule>
    <cfRule type="cellIs" dxfId="260" priority="8" stopIfTrue="1" operator="lessThan">
      <formula>0.001</formula>
    </cfRule>
    <cfRule type="cellIs" dxfId="259" priority="9" stopIfTrue="1" operator="lessThan">
      <formula>0.05</formula>
    </cfRule>
    <cfRule type="cellIs" dxfId="258" priority="10" stopIfTrue="1" operator="lessThan">
      <formula>0.1</formula>
    </cfRule>
  </conditionalFormatting>
  <conditionalFormatting sqref="J19">
    <cfRule type="containsText" dxfId="257" priority="2" stopIfTrue="1" operator="containsText" text="p&lt;0.0001">
      <formula>NOT(ISERROR(SEARCH("p&lt;0.0001",J19)))</formula>
    </cfRule>
    <cfRule type="containsText" dxfId="256" priority="3" stopIfTrue="1" operator="containsText" text="p&lt;0.001">
      <formula>NOT(ISERROR(SEARCH("p&lt;0.001",J19)))</formula>
    </cfRule>
    <cfRule type="containsText" dxfId="255" priority="4" stopIfTrue="1" operator="containsText" text="p&lt;0.01">
      <formula>NOT(ISERROR(SEARCH("p&lt;0.01",J19)))</formula>
    </cfRule>
    <cfRule type="containsText" dxfId="254" priority="5" stopIfTrue="1" operator="containsText" text="p&lt;0.05">
      <formula>NOT(ISERROR(SEARCH("p&lt;0.05",J19)))</formula>
    </cfRule>
    <cfRule type="containsText" dxfId="253" priority="6" stopIfTrue="1" operator="containsText" text="p&lt;0.1">
      <formula>NOT(ISERROR(SEARCH("p&lt;0.1",J19)))</formula>
    </cfRule>
  </conditionalFormatting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G5:AB33"/>
  <sheetViews>
    <sheetView showGridLines="0" zoomScaleNormal="100" workbookViewId="0">
      <selection activeCell="T22" sqref="T22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8"/>
      <c r="Z10" s="8"/>
      <c r="AA10" s="8"/>
      <c r="AB10" s="8"/>
    </row>
    <row r="33" spans="7:7" x14ac:dyDescent="0.3">
      <c r="G33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DD6-744B-4410-A500-780A8966E9D8}">
  <dimension ref="A1:K32"/>
  <sheetViews>
    <sheetView showGridLines="0" zoomScaleNormal="100" workbookViewId="0">
      <selection activeCell="D11" sqref="D11"/>
    </sheetView>
  </sheetViews>
  <sheetFormatPr defaultColWidth="8.88671875" defaultRowHeight="14.4" x14ac:dyDescent="0.3"/>
  <cols>
    <col min="1" max="1" width="14" style="286" bestFit="1" customWidth="1"/>
    <col min="2" max="2" width="11.21875" style="286" bestFit="1" customWidth="1"/>
    <col min="3" max="3" width="11.33203125" style="286" bestFit="1" customWidth="1"/>
    <col min="4" max="4" width="9.77734375" style="286" bestFit="1" customWidth="1"/>
    <col min="5" max="5" width="10.77734375" style="285" bestFit="1" customWidth="1"/>
    <col min="6" max="6" width="9.6640625" style="285" bestFit="1" customWidth="1"/>
    <col min="7" max="7" width="10.109375" style="285" customWidth="1"/>
    <col min="8" max="8" width="12.88671875" style="285" customWidth="1"/>
    <col min="9" max="9" width="14.21875" style="285" customWidth="1"/>
    <col min="10" max="10" width="13.21875" style="285" customWidth="1"/>
    <col min="11" max="11" width="14" style="285" customWidth="1"/>
    <col min="12" max="12" width="3.21875" style="285" customWidth="1"/>
    <col min="13" max="16" width="8.88671875" style="285"/>
    <col min="17" max="17" width="2.88671875" style="285" customWidth="1"/>
    <col min="18" max="18" width="12" style="285" customWidth="1"/>
    <col min="19" max="19" width="3.88671875" style="285" customWidth="1"/>
    <col min="20" max="16384" width="8.88671875" style="285"/>
  </cols>
  <sheetData>
    <row r="1" spans="1:11" s="301" customFormat="1" ht="30" thickBot="1" x14ac:dyDescent="0.35">
      <c r="A1" s="303" t="s">
        <v>95</v>
      </c>
      <c r="B1" s="311"/>
      <c r="C1" s="302"/>
      <c r="D1" s="311"/>
      <c r="E1" s="311"/>
      <c r="F1" s="310"/>
      <c r="G1" s="310"/>
    </row>
    <row r="2" spans="1:11" ht="25.2" customHeight="1" thickTop="1" thickBot="1" x14ac:dyDescent="0.35">
      <c r="A2" s="299" t="s">
        <v>92</v>
      </c>
      <c r="B2" s="299" t="str">
        <f>[33]utt_f0_b0!B1</f>
        <v>estimate</v>
      </c>
      <c r="C2" s="299" t="str">
        <f>[33]utt_f0_b0!C1</f>
        <v>conf.low</v>
      </c>
      <c r="D2" s="299" t="str">
        <f>[33]utt_f0_b0!D1</f>
        <v>conf.high</v>
      </c>
      <c r="E2" s="299" t="str">
        <f>[33]utt_f0_b0!E1</f>
        <v>std.error</v>
      </c>
      <c r="F2" s="299" t="str">
        <f>[33]utt_f0_b0!F1</f>
        <v>t.value</v>
      </c>
      <c r="G2" s="299" t="str">
        <f>[33]utt_f0_b0!G1</f>
        <v>df</v>
      </c>
      <c r="H2" s="299" t="str">
        <f>[33]utt_f0_b0!H1</f>
        <v>p.value</v>
      </c>
      <c r="I2" s="300" t="str">
        <f>[33]utt_f0_b0!I1</f>
        <v>p.adj (BH)</v>
      </c>
      <c r="J2" s="300" t="str">
        <f>[33]utt_f0_b0!J1</f>
        <v>signif.</v>
      </c>
      <c r="K2" s="299" t="e">
        <f>B2-D2</f>
        <v>#VALUE!</v>
      </c>
    </row>
    <row r="3" spans="1:11" s="304" customFormat="1" ht="33.6" customHeight="1" thickTop="1" thickBot="1" x14ac:dyDescent="0.35">
      <c r="A3" s="298" t="s">
        <v>18</v>
      </c>
      <c r="B3" s="295">
        <f>[33]utt_f0_b0!B2</f>
        <v>86.793999999999997</v>
      </c>
      <c r="C3" s="295">
        <f>[33]utt_f0_b0!C2</f>
        <v>83.183735333271997</v>
      </c>
      <c r="D3" s="295">
        <f>[33]utt_f0_b0!D2</f>
        <v>90.404568231377397</v>
      </c>
      <c r="E3" s="295">
        <f>[33]utt_f0_b0!E2</f>
        <v>1.6619999999999999</v>
      </c>
      <c r="F3" s="295">
        <f>[33]utt_f0_b0!F2</f>
        <v>52.21</v>
      </c>
      <c r="G3" s="295">
        <f>[33]utt_f0_b0!G2</f>
        <v>12.36</v>
      </c>
      <c r="H3" s="297">
        <f>[33]utt_f0_b0!H2</f>
        <v>7.1E-16</v>
      </c>
      <c r="I3" s="297">
        <f>[33]utt_f0_b0!I2</f>
        <v>5.9999999999999997E-15</v>
      </c>
      <c r="J3" s="296" t="str">
        <f>[33]utt_f0_b0!J2</f>
        <v>p&lt;0.0001</v>
      </c>
      <c r="K3" s="295">
        <f>B3-D3</f>
        <v>-3.6105682313773997</v>
      </c>
    </row>
    <row r="4" spans="1:11" s="304" customFormat="1" ht="33.6" customHeight="1" thickBot="1" x14ac:dyDescent="0.35">
      <c r="A4" s="294" t="s">
        <v>19</v>
      </c>
      <c r="B4" s="291">
        <f>[33]utt_f0_b0!B3</f>
        <v>87.263999999999996</v>
      </c>
      <c r="C4" s="291">
        <f>[33]utt_f0_b0!C3</f>
        <v>83.979921593540197</v>
      </c>
      <c r="D4" s="291">
        <f>[33]utt_f0_b0!D3</f>
        <v>90.547284948367306</v>
      </c>
      <c r="E4" s="291">
        <f>[33]utt_f0_b0!E3</f>
        <v>1.5129999999999999</v>
      </c>
      <c r="F4" s="291">
        <f>[33]utt_f0_b0!F3</f>
        <v>57.667000000000002</v>
      </c>
      <c r="G4" s="291">
        <f>[33]utt_f0_b0!G3</f>
        <v>12.46</v>
      </c>
      <c r="H4" s="293">
        <f>[33]utt_f0_b0!H3</f>
        <v>1.7E-16</v>
      </c>
      <c r="I4" s="293">
        <f>[33]utt_f0_b0!I3</f>
        <v>2.9000000000000002E-15</v>
      </c>
      <c r="J4" s="292" t="str">
        <f>[33]utt_f0_b0!J3</f>
        <v>p&lt;0.0001</v>
      </c>
      <c r="K4" s="291">
        <f>B4-D4</f>
        <v>-3.2832849483673101</v>
      </c>
    </row>
    <row r="5" spans="1:11" s="304" customFormat="1" ht="33.6" customHeight="1" thickBot="1" x14ac:dyDescent="0.35">
      <c r="A5" s="294" t="s">
        <v>20</v>
      </c>
      <c r="B5" s="291">
        <f>[33]utt_f0_b0!B4</f>
        <v>87.325999999999993</v>
      </c>
      <c r="C5" s="291">
        <f>[33]utt_f0_b0!C4</f>
        <v>83.895222032976804</v>
      </c>
      <c r="D5" s="291">
        <f>[33]utt_f0_b0!D4</f>
        <v>90.757320110233593</v>
      </c>
      <c r="E5" s="291">
        <f>[33]utt_f0_b0!E4</f>
        <v>1.58</v>
      </c>
      <c r="F5" s="291">
        <f>[33]utt_f0_b0!F4</f>
        <v>55.283000000000001</v>
      </c>
      <c r="G5" s="291">
        <f>[33]utt_f0_b0!G4</f>
        <v>12.35</v>
      </c>
      <c r="H5" s="293">
        <f>[33]utt_f0_b0!H4</f>
        <v>3.5999999999999998E-16</v>
      </c>
      <c r="I5" s="293">
        <f>[33]utt_f0_b0!I4</f>
        <v>3.8000000000000002E-15</v>
      </c>
      <c r="J5" s="292" t="str">
        <f>[33]utt_f0_b0!J4</f>
        <v>p&lt;0.0001</v>
      </c>
      <c r="K5" s="291">
        <f>B5-D5</f>
        <v>-3.4313201102335995</v>
      </c>
    </row>
    <row r="6" spans="1:11" s="304" customFormat="1" ht="33.6" customHeight="1" thickBot="1" x14ac:dyDescent="0.35">
      <c r="A6" s="290" t="s">
        <v>21</v>
      </c>
      <c r="B6" s="287">
        <f>[33]utt_f0_b0!B5</f>
        <v>88.405000000000001</v>
      </c>
      <c r="C6" s="287">
        <f>[33]utt_f0_b0!C5</f>
        <v>84.609277983035</v>
      </c>
      <c r="D6" s="287">
        <f>[33]utt_f0_b0!D5</f>
        <v>92.201485268814807</v>
      </c>
      <c r="E6" s="287">
        <f>[33]utt_f0_b0!E5</f>
        <v>1.7450000000000001</v>
      </c>
      <c r="F6" s="287">
        <f>[33]utt_f0_b0!F5</f>
        <v>50.655999999999999</v>
      </c>
      <c r="G6" s="287">
        <f>[33]utt_f0_b0!G5</f>
        <v>12.19</v>
      </c>
      <c r="H6" s="289">
        <f>[33]utt_f0_b0!H5</f>
        <v>1.4999999999999999E-15</v>
      </c>
      <c r="I6" s="289">
        <f>[33]utt_f0_b0!I5</f>
        <v>7.0000000000000001E-15</v>
      </c>
      <c r="J6" s="288" t="str">
        <f>[33]utt_f0_b0!J5</f>
        <v>p&lt;0.0001</v>
      </c>
      <c r="K6" s="287">
        <f>B6-D6</f>
        <v>-3.7964852688148056</v>
      </c>
    </row>
    <row r="7" spans="1:11" s="304" customFormat="1" x14ac:dyDescent="0.3">
      <c r="A7" s="309"/>
      <c r="B7" s="307"/>
      <c r="C7" s="308"/>
      <c r="D7" s="307"/>
      <c r="E7" s="307"/>
      <c r="F7" s="306"/>
      <c r="G7" s="305"/>
    </row>
    <row r="8" spans="1:11" s="301" customFormat="1" ht="33.6" customHeight="1" thickBot="1" x14ac:dyDescent="0.35">
      <c r="A8" s="303" t="s">
        <v>94</v>
      </c>
      <c r="B8" s="302"/>
      <c r="C8" s="302"/>
      <c r="D8" s="302"/>
      <c r="E8" s="302"/>
      <c r="G8" s="301" t="s">
        <v>90</v>
      </c>
    </row>
    <row r="9" spans="1:11" ht="25.2" customHeight="1" thickTop="1" thickBot="1" x14ac:dyDescent="0.35">
      <c r="A9" s="299" t="s">
        <v>92</v>
      </c>
      <c r="B9" s="299" t="str">
        <f>[34]utt_slope_b0!B1</f>
        <v>estimate</v>
      </c>
      <c r="C9" s="299" t="str">
        <f>[34]utt_slope_b0!C1</f>
        <v>conf.low</v>
      </c>
      <c r="D9" s="299" t="str">
        <f>[34]utt_slope_b0!D1</f>
        <v>conf.high</v>
      </c>
      <c r="E9" s="299" t="str">
        <f>[34]utt_slope_b0!E1</f>
        <v>std.error</v>
      </c>
      <c r="F9" s="299" t="str">
        <f>[34]utt_slope_b0!F1</f>
        <v>t.value</v>
      </c>
      <c r="G9" s="299" t="str">
        <f>[34]utt_slope_b0!G1</f>
        <v>df</v>
      </c>
      <c r="H9" s="299" t="str">
        <f>[34]utt_slope_b0!H1</f>
        <v>p.value</v>
      </c>
      <c r="I9" s="300" t="str">
        <f>[34]utt_slope_b0!I1</f>
        <v>p.adj (BH)</v>
      </c>
      <c r="J9" s="300" t="str">
        <f>[34]utt_slope_b0!J1</f>
        <v>signif.</v>
      </c>
      <c r="K9" s="299" t="e">
        <f>B9-D9</f>
        <v>#VALUE!</v>
      </c>
    </row>
    <row r="10" spans="1:11" s="304" customFormat="1" ht="33.6" customHeight="1" thickTop="1" thickBot="1" x14ac:dyDescent="0.35">
      <c r="A10" s="298" t="s">
        <v>18</v>
      </c>
      <c r="B10" s="295">
        <f>[34]utt_slope_b0!B2</f>
        <v>-1.9490000000000001</v>
      </c>
      <c r="C10" s="295">
        <f>[34]utt_slope_b0!C2</f>
        <v>-6.1117594117146599</v>
      </c>
      <c r="D10" s="295">
        <f>[34]utt_slope_b0!D2</f>
        <v>2.2138289154357702</v>
      </c>
      <c r="E10" s="295">
        <f>[34]utt_slope_b0!E2</f>
        <v>1.86</v>
      </c>
      <c r="F10" s="295">
        <f>[34]utt_slope_b0!F2</f>
        <v>-1.048</v>
      </c>
      <c r="G10" s="295">
        <f>[34]utt_slope_b0!G2</f>
        <v>9.69</v>
      </c>
      <c r="H10" s="297">
        <f>[34]utt_slope_b0!H2</f>
        <v>0.32</v>
      </c>
      <c r="I10" s="297">
        <f>[34]utt_slope_b0!I2</f>
        <v>0.32800000000000001</v>
      </c>
      <c r="J10" s="296">
        <f>[34]utt_slope_b0!J2</f>
        <v>0</v>
      </c>
      <c r="K10" s="295">
        <f>B10-D10</f>
        <v>-4.16282891543577</v>
      </c>
    </row>
    <row r="11" spans="1:11" s="304" customFormat="1" ht="33.6" customHeight="1" thickBot="1" x14ac:dyDescent="0.35">
      <c r="A11" s="294" t="s">
        <v>19</v>
      </c>
      <c r="B11" s="291">
        <f>[34]utt_slope_b0!B3</f>
        <v>-4.0419999999999998</v>
      </c>
      <c r="C11" s="291">
        <f>[34]utt_slope_b0!C3</f>
        <v>-8.3184683304519602</v>
      </c>
      <c r="D11" s="291">
        <f>[34]utt_slope_b0!D3</f>
        <v>0.234335674059166</v>
      </c>
      <c r="E11" s="291">
        <f>[34]utt_slope_b0!E3</f>
        <v>1.95</v>
      </c>
      <c r="F11" s="291">
        <f>[34]utt_slope_b0!F3</f>
        <v>-2.073</v>
      </c>
      <c r="G11" s="291">
        <f>[34]utt_slope_b0!G3</f>
        <v>11.34</v>
      </c>
      <c r="H11" s="293">
        <f>[34]utt_slope_b0!H3</f>
        <v>6.2E-2</v>
      </c>
      <c r="I11" s="293">
        <f>[34]utt_slope_b0!I3</f>
        <v>6.5000000000000002E-2</v>
      </c>
      <c r="J11" s="292">
        <f>[34]utt_slope_b0!J3</f>
        <v>0</v>
      </c>
      <c r="K11" s="291">
        <f>B11-D11</f>
        <v>-4.2763356740591654</v>
      </c>
    </row>
    <row r="12" spans="1:11" s="304" customFormat="1" ht="33.6" customHeight="1" thickBot="1" x14ac:dyDescent="0.35">
      <c r="A12" s="294" t="s">
        <v>20</v>
      </c>
      <c r="B12" s="291">
        <f>[34]utt_slope_b0!B4</f>
        <v>0.95799999999999996</v>
      </c>
      <c r="C12" s="291">
        <f>[34]utt_slope_b0!C4</f>
        <v>-3.18785071466518</v>
      </c>
      <c r="D12" s="291">
        <f>[34]utt_slope_b0!D4</f>
        <v>5.1034741533326198</v>
      </c>
      <c r="E12" s="291">
        <f>[34]utt_slope_b0!E4</f>
        <v>1.8420000000000001</v>
      </c>
      <c r="F12" s="291">
        <f>[34]utt_slope_b0!F4</f>
        <v>0.52</v>
      </c>
      <c r="G12" s="291">
        <f>[34]utt_slope_b0!G4</f>
        <v>9.33</v>
      </c>
      <c r="H12" s="293">
        <f>[34]utt_slope_b0!H4</f>
        <v>0.61499999999999999</v>
      </c>
      <c r="I12" s="293">
        <f>[34]utt_slope_b0!I4</f>
        <v>0.61499999999999999</v>
      </c>
      <c r="J12" s="292">
        <f>[34]utt_slope_b0!J4</f>
        <v>0</v>
      </c>
      <c r="K12" s="291">
        <f>B12-D12</f>
        <v>-4.1454741533326196</v>
      </c>
    </row>
    <row r="13" spans="1:11" s="304" customFormat="1" ht="33.6" customHeight="1" thickBot="1" x14ac:dyDescent="0.35">
      <c r="A13" s="290" t="s">
        <v>21</v>
      </c>
      <c r="B13" s="287">
        <f>[34]utt_slope_b0!B5</f>
        <v>3.121</v>
      </c>
      <c r="C13" s="287">
        <f>[34]utt_slope_b0!C5</f>
        <v>-1.1798261362714799</v>
      </c>
      <c r="D13" s="287">
        <f>[34]utt_slope_b0!D5</f>
        <v>7.4218921454628797</v>
      </c>
      <c r="E13" s="287">
        <f>[34]utt_slope_b0!E5</f>
        <v>1.966</v>
      </c>
      <c r="F13" s="287">
        <f>[34]utt_slope_b0!F5</f>
        <v>1.5880000000000001</v>
      </c>
      <c r="G13" s="287">
        <f>[34]utt_slope_b0!G5</f>
        <v>11.56</v>
      </c>
      <c r="H13" s="289">
        <f>[34]utt_slope_b0!H5</f>
        <v>0.13900000000000001</v>
      </c>
      <c r="I13" s="289">
        <f>[34]utt_slope_b0!I5</f>
        <v>0.14399999999999999</v>
      </c>
      <c r="J13" s="288">
        <f>[34]utt_slope_b0!J5</f>
        <v>0</v>
      </c>
      <c r="K13" s="287">
        <f>B13-D13</f>
        <v>-4.3008921454628801</v>
      </c>
    </row>
    <row r="14" spans="1:11" x14ac:dyDescent="0.3">
      <c r="A14" s="285"/>
      <c r="B14" s="285"/>
      <c r="C14" s="285"/>
      <c r="D14" s="285"/>
    </row>
    <row r="15" spans="1:11" ht="26.4" thickBot="1" x14ac:dyDescent="0.35">
      <c r="A15" s="303" t="s">
        <v>93</v>
      </c>
      <c r="B15" s="302"/>
      <c r="C15" s="302"/>
      <c r="D15" s="302"/>
      <c r="E15" s="302"/>
      <c r="F15" s="301"/>
      <c r="G15" s="301" t="s">
        <v>90</v>
      </c>
      <c r="H15" s="301"/>
      <c r="I15" s="301"/>
      <c r="J15" s="301"/>
      <c r="K15" s="301"/>
    </row>
    <row r="16" spans="1:11" ht="33.6" customHeight="1" thickTop="1" thickBot="1" x14ac:dyDescent="0.35">
      <c r="A16" s="299" t="s">
        <v>92</v>
      </c>
      <c r="B16" s="299" t="str">
        <f>[35]utt_slope_no_phonology_b0!B1</f>
        <v>estimate</v>
      </c>
      <c r="C16" s="299" t="str">
        <f>[35]utt_slope_no_phonology_b0!C1</f>
        <v>conf.low</v>
      </c>
      <c r="D16" s="299" t="str">
        <f>[35]utt_slope_no_phonology_b0!D1</f>
        <v>conf.high</v>
      </c>
      <c r="E16" s="299" t="str">
        <f>[35]utt_slope_no_phonology_b0!E1</f>
        <v>std.error</v>
      </c>
      <c r="F16" s="299" t="str">
        <f>[35]utt_slope_no_phonology_b0!F1</f>
        <v>t.value</v>
      </c>
      <c r="G16" s="299" t="str">
        <f>[35]utt_slope_no_phonology_b0!G1</f>
        <v>df</v>
      </c>
      <c r="H16" s="299" t="str">
        <f>[35]utt_slope_no_phonology_b0!H1</f>
        <v>p.value</v>
      </c>
      <c r="I16" s="300" t="str">
        <f>[35]utt_slope_no_phonology_b0!I1</f>
        <v>p.adj (BH)</v>
      </c>
      <c r="J16" s="300" t="str">
        <f>[35]utt_slope_no_phonology_b0!J1</f>
        <v>signif.</v>
      </c>
      <c r="K16" s="299" t="s">
        <v>91</v>
      </c>
    </row>
    <row r="17" spans="1:11" ht="33.6" customHeight="1" thickTop="1" thickBot="1" x14ac:dyDescent="0.35">
      <c r="A17" s="298" t="s">
        <v>18</v>
      </c>
      <c r="B17" s="295">
        <f>[35]utt_slope_no_phonology_b0!B2</f>
        <v>-0.42399999999999999</v>
      </c>
      <c r="C17" s="295">
        <f>[35]utt_slope_no_phonology_b0!C2</f>
        <v>-2.0388500774625702</v>
      </c>
      <c r="D17" s="295">
        <f>[35]utt_slope_no_phonology_b0!D2</f>
        <v>1.19087341407404</v>
      </c>
      <c r="E17" s="295">
        <f>[35]utt_slope_no_phonology_b0!E2</f>
        <v>0.73699999999999999</v>
      </c>
      <c r="F17" s="295">
        <f>[35]utt_slope_no_phonology_b0!F2</f>
        <v>-0.57499999999999996</v>
      </c>
      <c r="G17" s="295">
        <f>[35]utt_slope_no_phonology_b0!G2</f>
        <v>11.46</v>
      </c>
      <c r="H17" s="297">
        <f>[35]utt_slope_no_phonology_b0!H2</f>
        <v>0.57599999999999996</v>
      </c>
      <c r="I17" s="297">
        <f>[35]utt_slope_no_phonology_b0!I2</f>
        <v>0.58299999999999996</v>
      </c>
      <c r="J17" s="296">
        <f>[35]utt_slope_no_phonology_b0!J2</f>
        <v>0</v>
      </c>
      <c r="K17" s="295">
        <f>B17-D17</f>
        <v>-1.6148734140740399</v>
      </c>
    </row>
    <row r="18" spans="1:11" ht="33.6" customHeight="1" thickBot="1" x14ac:dyDescent="0.35">
      <c r="A18" s="294" t="s">
        <v>19</v>
      </c>
      <c r="B18" s="291">
        <f>[35]utt_slope_no_phonology_b0!B3</f>
        <v>-2.8490000000000002</v>
      </c>
      <c r="C18" s="291">
        <f>[35]utt_slope_no_phonology_b0!C3</f>
        <v>-4.8371292842892704</v>
      </c>
      <c r="D18" s="291">
        <f>[35]utt_slope_no_phonology_b0!D3</f>
        <v>-0.86092869874570399</v>
      </c>
      <c r="E18" s="291">
        <f>[35]utt_slope_no_phonology_b0!E3</f>
        <v>0.90500000000000003</v>
      </c>
      <c r="F18" s="291">
        <f>[35]utt_slope_no_phonology_b0!F3</f>
        <v>-3.149</v>
      </c>
      <c r="G18" s="291">
        <f>[35]utt_slope_no_phonology_b0!G3</f>
        <v>11.15</v>
      </c>
      <c r="H18" s="293">
        <f>[35]utt_slope_no_phonology_b0!H3</f>
        <v>8.9999999999999993E-3</v>
      </c>
      <c r="I18" s="293">
        <f>[35]utt_slope_no_phonology_b0!I3</f>
        <v>0.01</v>
      </c>
      <c r="J18" s="292" t="str">
        <f>[35]utt_slope_no_phonology_b0!J3</f>
        <v>p&lt;0.01</v>
      </c>
      <c r="K18" s="291">
        <f>B18-D18</f>
        <v>-1.9880713012542963</v>
      </c>
    </row>
    <row r="19" spans="1:11" ht="33.6" customHeight="1" thickBot="1" x14ac:dyDescent="0.35">
      <c r="A19" s="294" t="s">
        <v>20</v>
      </c>
      <c r="B19" s="291">
        <f>[35]utt_slope_no_phonology_b0!B4</f>
        <v>3.1259999999999999</v>
      </c>
      <c r="C19" s="291">
        <f>[35]utt_slope_no_phonology_b0!C4</f>
        <v>1.5929891966334999</v>
      </c>
      <c r="D19" s="291">
        <f>[35]utt_slope_no_phonology_b0!D4</f>
        <v>4.6583189993808896</v>
      </c>
      <c r="E19" s="291">
        <f>[35]utt_slope_no_phonology_b0!E4</f>
        <v>0.7</v>
      </c>
      <c r="F19" s="291">
        <f>[35]utt_slope_no_phonology_b0!F4</f>
        <v>4.4630000000000001</v>
      </c>
      <c r="G19" s="291">
        <f>[35]utt_slope_no_phonology_b0!G4</f>
        <v>11.55</v>
      </c>
      <c r="H19" s="293">
        <f>[35]utt_slope_no_phonology_b0!H4</f>
        <v>8.4999999999999995E-4</v>
      </c>
      <c r="I19" s="293">
        <f>[35]utt_slope_no_phonology_b0!I4</f>
        <v>1E-3</v>
      </c>
      <c r="J19" s="292" t="str">
        <f>[35]utt_slope_no_phonology_b0!J4</f>
        <v>p&lt;0.01</v>
      </c>
      <c r="K19" s="291">
        <f>B19-D19</f>
        <v>-1.5323189993808897</v>
      </c>
    </row>
    <row r="20" spans="1:11" ht="33.6" customHeight="1" thickBot="1" x14ac:dyDescent="0.35">
      <c r="A20" s="290" t="s">
        <v>21</v>
      </c>
      <c r="B20" s="287">
        <f>[35]utt_slope_no_phonology_b0!B5</f>
        <v>6.19</v>
      </c>
      <c r="C20" s="287">
        <f>[35]utt_slope_no_phonology_b0!C5</f>
        <v>3.7877391950621901</v>
      </c>
      <c r="D20" s="287">
        <f>[35]utt_slope_no_phonology_b0!D5</f>
        <v>8.5923685128481093</v>
      </c>
      <c r="E20" s="287">
        <f>[35]utt_slope_no_phonology_b0!E5</f>
        <v>1.0900000000000001</v>
      </c>
      <c r="F20" s="287">
        <f>[35]utt_slope_no_phonology_b0!F5</f>
        <v>5.6779999999999999</v>
      </c>
      <c r="G20" s="287">
        <f>[35]utt_slope_no_phonology_b0!G5</f>
        <v>10.9</v>
      </c>
      <c r="H20" s="289">
        <f>[35]utt_slope_no_phonology_b0!H5</f>
        <v>1.4999999999999999E-4</v>
      </c>
      <c r="I20" s="289">
        <f>[35]utt_slope_no_phonology_b0!I5</f>
        <v>2.3000000000000001E-4</v>
      </c>
      <c r="J20" s="288" t="str">
        <f>[35]utt_slope_no_phonology_b0!J5</f>
        <v>p&lt;0.001</v>
      </c>
      <c r="K20" s="287">
        <f>B20-D20</f>
        <v>-2.4023685128481089</v>
      </c>
    </row>
    <row r="22" spans="1:11" x14ac:dyDescent="0.3">
      <c r="C22" s="285"/>
      <c r="D22" s="285"/>
    </row>
    <row r="23" spans="1:11" x14ac:dyDescent="0.3">
      <c r="C23" s="285"/>
      <c r="D23" s="285"/>
    </row>
    <row r="24" spans="1:11" x14ac:dyDescent="0.3">
      <c r="C24" s="285"/>
      <c r="D24" s="285"/>
    </row>
    <row r="25" spans="1:11" x14ac:dyDescent="0.3">
      <c r="C25" s="285"/>
      <c r="D25" s="285"/>
    </row>
    <row r="26" spans="1:11" x14ac:dyDescent="0.3">
      <c r="C26" s="285"/>
      <c r="D26" s="285"/>
    </row>
    <row r="28" spans="1:11" x14ac:dyDescent="0.3">
      <c r="C28" s="285"/>
      <c r="D28" s="285"/>
    </row>
    <row r="29" spans="1:11" x14ac:dyDescent="0.3">
      <c r="C29" s="285"/>
      <c r="D29" s="285"/>
    </row>
    <row r="30" spans="1:11" x14ac:dyDescent="0.3">
      <c r="C30" s="285"/>
      <c r="D30" s="285"/>
    </row>
    <row r="31" spans="1:11" x14ac:dyDescent="0.3">
      <c r="C31" s="285"/>
      <c r="D31" s="285"/>
    </row>
    <row r="32" spans="1:11" x14ac:dyDescent="0.3">
      <c r="C32" s="285"/>
      <c r="D32" s="285"/>
    </row>
  </sheetData>
  <conditionalFormatting sqref="H10:I11">
    <cfRule type="cellIs" dxfId="76" priority="47" stopIfTrue="1" operator="lessThan">
      <formula>0.0001</formula>
    </cfRule>
    <cfRule type="cellIs" dxfId="75" priority="48" stopIfTrue="1" operator="lessThan">
      <formula>0.001</formula>
    </cfRule>
    <cfRule type="cellIs" dxfId="74" priority="49" stopIfTrue="1" operator="lessThan">
      <formula>0.05</formula>
    </cfRule>
    <cfRule type="cellIs" dxfId="73" priority="50" stopIfTrue="1" operator="lessThan">
      <formula>0.1</formula>
    </cfRule>
  </conditionalFormatting>
  <conditionalFormatting sqref="J10:J11">
    <cfRule type="containsText" dxfId="72" priority="43" stopIfTrue="1" operator="containsText" text="p&lt;0.001">
      <formula>NOT(ISERROR(SEARCH("p&lt;0.001",J10)))</formula>
    </cfRule>
    <cfRule type="containsText" dxfId="71" priority="44" stopIfTrue="1" operator="containsText" text="p&lt;0.01">
      <formula>NOT(ISERROR(SEARCH("p&lt;0.01",J10)))</formula>
    </cfRule>
    <cfRule type="containsText" dxfId="70" priority="45" stopIfTrue="1" operator="containsText" text="p&lt;0.05">
      <formula>NOT(ISERROR(SEARCH("p&lt;0.05",J10)))</formula>
    </cfRule>
    <cfRule type="containsText" dxfId="69" priority="46" stopIfTrue="1" operator="containsText" text="p&lt;0.1">
      <formula>NOT(ISERROR(SEARCH("p&lt;0.1",J10)))</formula>
    </cfRule>
  </conditionalFormatting>
  <conditionalFormatting sqref="H12:I13">
    <cfRule type="cellIs" dxfId="68" priority="39" stopIfTrue="1" operator="lessThan">
      <formula>0.0001</formula>
    </cfRule>
    <cfRule type="cellIs" dxfId="67" priority="40" stopIfTrue="1" operator="lessThan">
      <formula>0.001</formula>
    </cfRule>
    <cfRule type="cellIs" dxfId="66" priority="41" stopIfTrue="1" operator="lessThan">
      <formula>0.05</formula>
    </cfRule>
    <cfRule type="cellIs" dxfId="65" priority="42" stopIfTrue="1" operator="lessThan">
      <formula>0.1</formula>
    </cfRule>
  </conditionalFormatting>
  <conditionalFormatting sqref="J12:J13">
    <cfRule type="containsText" dxfId="64" priority="35" stopIfTrue="1" operator="containsText" text="p&lt;0.001">
      <formula>NOT(ISERROR(SEARCH("p&lt;0.001",J12)))</formula>
    </cfRule>
    <cfRule type="containsText" dxfId="63" priority="36" stopIfTrue="1" operator="containsText" text="p&lt;0.01">
      <formula>NOT(ISERROR(SEARCH("p&lt;0.01",J12)))</formula>
    </cfRule>
    <cfRule type="containsText" dxfId="62" priority="37" stopIfTrue="1" operator="containsText" text="p&lt;0.05">
      <formula>NOT(ISERROR(SEARCH("p&lt;0.05",J12)))</formula>
    </cfRule>
    <cfRule type="containsText" dxfId="61" priority="38" stopIfTrue="1" operator="containsText" text="p&lt;0.1">
      <formula>NOT(ISERROR(SEARCH("p&lt;0.1",J12)))</formula>
    </cfRule>
  </conditionalFormatting>
  <conditionalFormatting sqref="H3:I4">
    <cfRule type="cellIs" dxfId="60" priority="31" stopIfTrue="1" operator="lessThan">
      <formula>0.0001</formula>
    </cfRule>
    <cfRule type="cellIs" dxfId="59" priority="32" stopIfTrue="1" operator="lessThan">
      <formula>0.001</formula>
    </cfRule>
    <cfRule type="cellIs" dxfId="58" priority="33" stopIfTrue="1" operator="lessThan">
      <formula>0.05</formula>
    </cfRule>
    <cfRule type="cellIs" dxfId="57" priority="34" stopIfTrue="1" operator="lessThan">
      <formula>0.1</formula>
    </cfRule>
  </conditionalFormatting>
  <conditionalFormatting sqref="J3:J4">
    <cfRule type="containsText" dxfId="56" priority="18" stopIfTrue="1" operator="containsText" text="p&lt;0.0001">
      <formula>NOT(ISERROR(SEARCH("p&lt;0.0001",J3)))</formula>
    </cfRule>
    <cfRule type="containsText" dxfId="55" priority="27" stopIfTrue="1" operator="containsText" text="p&lt;0.001">
      <formula>NOT(ISERROR(SEARCH("p&lt;0.001",J3)))</formula>
    </cfRule>
    <cfRule type="containsText" dxfId="54" priority="28" stopIfTrue="1" operator="containsText" text="p&lt;0.01">
      <formula>NOT(ISERROR(SEARCH("p&lt;0.01",J3)))</formula>
    </cfRule>
    <cfRule type="containsText" dxfId="53" priority="29" stopIfTrue="1" operator="containsText" text="p&lt;0.05">
      <formula>NOT(ISERROR(SEARCH("p&lt;0.05",J3)))</formula>
    </cfRule>
    <cfRule type="containsText" dxfId="52" priority="30" stopIfTrue="1" operator="containsText" text="p&lt;0.1">
      <formula>NOT(ISERROR(SEARCH("p&lt;0.1",J3)))</formula>
    </cfRule>
  </conditionalFormatting>
  <conditionalFormatting sqref="H5:I6">
    <cfRule type="cellIs" dxfId="51" priority="23" stopIfTrue="1" operator="lessThan">
      <formula>0.0001</formula>
    </cfRule>
    <cfRule type="cellIs" dxfId="50" priority="24" stopIfTrue="1" operator="lessThan">
      <formula>0.001</formula>
    </cfRule>
    <cfRule type="cellIs" dxfId="49" priority="25" stopIfTrue="1" operator="lessThan">
      <formula>0.05</formula>
    </cfRule>
    <cfRule type="cellIs" dxfId="48" priority="26" stopIfTrue="1" operator="lessThan">
      <formula>0.1</formula>
    </cfRule>
  </conditionalFormatting>
  <conditionalFormatting sqref="J5:J6">
    <cfRule type="containsText" dxfId="47" priority="17" stopIfTrue="1" operator="containsText" text="p&lt;0.0001">
      <formula>NOT(ISERROR(SEARCH("p&lt;0.0001",J5)))</formula>
    </cfRule>
    <cfRule type="containsText" dxfId="46" priority="19" stopIfTrue="1" operator="containsText" text="p&lt;0.001">
      <formula>NOT(ISERROR(SEARCH("p&lt;0.001",J5)))</formula>
    </cfRule>
    <cfRule type="containsText" dxfId="45" priority="20" stopIfTrue="1" operator="containsText" text="p&lt;0.01">
      <formula>NOT(ISERROR(SEARCH("p&lt;0.01",J5)))</formula>
    </cfRule>
    <cfRule type="containsText" dxfId="44" priority="21" stopIfTrue="1" operator="containsText" text="p&lt;0.05">
      <formula>NOT(ISERROR(SEARCH("p&lt;0.05",J5)))</formula>
    </cfRule>
    <cfRule type="containsText" dxfId="43" priority="22" stopIfTrue="1" operator="containsText" text="p&lt;0.1">
      <formula>NOT(ISERROR(SEARCH("p&lt;0.1",J5)))</formula>
    </cfRule>
  </conditionalFormatting>
  <conditionalFormatting sqref="H17:I18">
    <cfRule type="cellIs" dxfId="42" priority="13" stopIfTrue="1" operator="lessThan">
      <formula>0.0001</formula>
    </cfRule>
    <cfRule type="cellIs" dxfId="41" priority="14" stopIfTrue="1" operator="lessThan">
      <formula>0.001</formula>
    </cfRule>
    <cfRule type="cellIs" dxfId="40" priority="15" stopIfTrue="1" operator="lessThan">
      <formula>0.05</formula>
    </cfRule>
    <cfRule type="cellIs" dxfId="39" priority="16" stopIfTrue="1" operator="lessThan">
      <formula>0.1</formula>
    </cfRule>
  </conditionalFormatting>
  <conditionalFormatting sqref="J17:J18">
    <cfRule type="containsText" dxfId="38" priority="9" stopIfTrue="1" operator="containsText" text="p&lt;0.001">
      <formula>NOT(ISERROR(SEARCH("p&lt;0.001",J17)))</formula>
    </cfRule>
    <cfRule type="containsText" dxfId="37" priority="10" stopIfTrue="1" operator="containsText" text="p&lt;0.01">
      <formula>NOT(ISERROR(SEARCH("p&lt;0.01",J17)))</formula>
    </cfRule>
    <cfRule type="containsText" dxfId="36" priority="11" stopIfTrue="1" operator="containsText" text="p&lt;0.05">
      <formula>NOT(ISERROR(SEARCH("p&lt;0.05",J17)))</formula>
    </cfRule>
    <cfRule type="containsText" dxfId="35" priority="12" stopIfTrue="1" operator="containsText" text="p&lt;0.1">
      <formula>NOT(ISERROR(SEARCH("p&lt;0.1",J17)))</formula>
    </cfRule>
  </conditionalFormatting>
  <conditionalFormatting sqref="H19:I20">
    <cfRule type="cellIs" dxfId="34" priority="5" stopIfTrue="1" operator="lessThan">
      <formula>0.0001</formula>
    </cfRule>
    <cfRule type="cellIs" dxfId="33" priority="6" stopIfTrue="1" operator="lessThan">
      <formula>0.001</formula>
    </cfRule>
    <cfRule type="cellIs" dxfId="32" priority="7" stopIfTrue="1" operator="lessThan">
      <formula>0.05</formula>
    </cfRule>
    <cfRule type="cellIs" dxfId="31" priority="8" stopIfTrue="1" operator="lessThan">
      <formula>0.1</formula>
    </cfRule>
  </conditionalFormatting>
  <conditionalFormatting sqref="J19:J20">
    <cfRule type="containsText" dxfId="30" priority="1" stopIfTrue="1" operator="containsText" text="p&lt;0.001">
      <formula>NOT(ISERROR(SEARCH("p&lt;0.001",J19)))</formula>
    </cfRule>
    <cfRule type="containsText" dxfId="29" priority="2" stopIfTrue="1" operator="containsText" text="p&lt;0.01">
      <formula>NOT(ISERROR(SEARCH("p&lt;0.01",J19)))</formula>
    </cfRule>
    <cfRule type="containsText" dxfId="28" priority="3" stopIfTrue="1" operator="containsText" text="p&lt;0.05">
      <formula>NOT(ISERROR(SEARCH("p&lt;0.05",J19)))</formula>
    </cfRule>
    <cfRule type="containsText" dxfId="27" priority="4" stopIfTrue="1" operator="containsText" text="p&lt;0.1">
      <formula>NOT(ISERROR(SEARCH("p&lt;0.1",J19)))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C695-1359-41F6-906C-23ADEA1D986A}">
  <dimension ref="A1:N26"/>
  <sheetViews>
    <sheetView showGridLines="0" zoomScale="83" zoomScaleNormal="83" workbookViewId="0">
      <selection activeCell="G5" sqref="G5"/>
    </sheetView>
  </sheetViews>
  <sheetFormatPr defaultRowHeight="14.4" x14ac:dyDescent="0.3"/>
  <cols>
    <col min="1" max="1" width="14.109375" style="312" bestFit="1" customWidth="1"/>
    <col min="2" max="2" width="7.109375" style="312" customWidth="1"/>
    <col min="3" max="3" width="12.6640625" style="312" customWidth="1"/>
    <col min="4" max="4" width="11.109375" style="312" customWidth="1"/>
    <col min="5" max="6" width="11.21875" style="312" customWidth="1"/>
    <col min="7" max="7" width="12.5546875" style="312" customWidth="1"/>
    <col min="8" max="8" width="11.44140625" style="312" customWidth="1"/>
    <col min="9" max="9" width="11.6640625" style="312" customWidth="1"/>
    <col min="10" max="10" width="10.109375" style="312" customWidth="1"/>
    <col min="11" max="11" width="10.21875" style="312" customWidth="1"/>
    <col min="12" max="16384" width="8.88671875" style="312"/>
  </cols>
  <sheetData>
    <row r="1" spans="1:14" ht="30" thickBot="1" x14ac:dyDescent="0.35">
      <c r="A1" s="303" t="s">
        <v>95</v>
      </c>
    </row>
    <row r="2" spans="1:14" ht="25.2" customHeight="1" thickTop="1" thickBot="1" x14ac:dyDescent="0.35">
      <c r="A2" s="299" t="s">
        <v>101</v>
      </c>
      <c r="B2" s="299" t="s">
        <v>26</v>
      </c>
      <c r="C2" s="299" t="s">
        <v>89</v>
      </c>
      <c r="D2" s="299" t="s">
        <v>102</v>
      </c>
      <c r="E2" s="299" t="s">
        <v>103</v>
      </c>
      <c r="F2" s="299" t="s">
        <v>7</v>
      </c>
      <c r="G2" s="299" t="s">
        <v>88</v>
      </c>
      <c r="H2" s="299" t="s">
        <v>12</v>
      </c>
      <c r="I2" s="300" t="s">
        <v>87</v>
      </c>
      <c r="J2" s="300" t="s">
        <v>86</v>
      </c>
      <c r="K2" s="299" t="s">
        <v>85</v>
      </c>
      <c r="M2" s="299" t="s">
        <v>97</v>
      </c>
      <c r="N2" s="299" t="s">
        <v>96</v>
      </c>
    </row>
    <row r="3" spans="1:14" ht="33.6" customHeight="1" thickTop="1" thickBot="1" x14ac:dyDescent="0.35">
      <c r="A3" s="298" t="s">
        <v>18</v>
      </c>
      <c r="B3" s="295" t="s">
        <v>19</v>
      </c>
      <c r="C3" s="295">
        <f>[36]utt_f0_b1!C2</f>
        <v>0.46899999999999997</v>
      </c>
      <c r="D3" s="295">
        <f>[36]utt_f0_b1!D2</f>
        <v>-0.22800809788462301</v>
      </c>
      <c r="E3" s="295">
        <f>[36]utt_f0_b1!E2</f>
        <v>1.16691223729475</v>
      </c>
      <c r="F3" s="295">
        <f>[36]utt_f0_b1!F2</f>
        <v>0.313</v>
      </c>
      <c r="G3" s="295">
        <f>[36]utt_f0_b1!G2</f>
        <v>1.4990000000000001</v>
      </c>
      <c r="H3" s="297">
        <f>[36]utt_f0_b1!H2</f>
        <v>10.06</v>
      </c>
      <c r="I3" s="297">
        <f>[36]utt_f0_b1!I2</f>
        <v>0.16500000000000001</v>
      </c>
      <c r="J3" s="318">
        <f>[36]utt_f0_b1!J2</f>
        <v>0.218</v>
      </c>
      <c r="K3" s="298">
        <f>[36]utt_f0_b1!K2</f>
        <v>0</v>
      </c>
      <c r="M3" s="315">
        <f>[37]utt_f0_r2!$B$3</f>
        <v>1.2545781673086001E-2</v>
      </c>
      <c r="N3" s="315">
        <f>[37]utt_f0_r2!$B$2</f>
        <v>0.96083371545006302</v>
      </c>
    </row>
    <row r="4" spans="1:14" ht="33.6" customHeight="1" thickBot="1" x14ac:dyDescent="0.35">
      <c r="A4" s="294" t="s">
        <v>18</v>
      </c>
      <c r="B4" s="291" t="s">
        <v>20</v>
      </c>
      <c r="C4" s="291">
        <f>[36]utt_f0_b1!C3</f>
        <v>0.53200000000000003</v>
      </c>
      <c r="D4" s="291">
        <f>[36]utt_f0_b1!D3</f>
        <v>7.3813273986569797E-2</v>
      </c>
      <c r="E4" s="291">
        <f>[36]utt_f0_b1!E3</f>
        <v>0.99043054836575695</v>
      </c>
      <c r="F4" s="291">
        <f>[36]utt_f0_b1!F3</f>
        <v>0.20699999999999999</v>
      </c>
      <c r="G4" s="291">
        <f>[36]utt_f0_b1!G3</f>
        <v>2.5659999999999998</v>
      </c>
      <c r="H4" s="293">
        <f>[36]utt_f0_b1!H3</f>
        <v>10.63</v>
      </c>
      <c r="I4" s="293">
        <f>[36]utt_f0_b1!I3</f>
        <v>2.7E-2</v>
      </c>
      <c r="J4" s="317">
        <f>[36]utt_f0_b1!J3</f>
        <v>4.2000000000000003E-2</v>
      </c>
      <c r="K4" s="294" t="str">
        <f>[36]utt_f0_b1!K3</f>
        <v>p&lt;0.05</v>
      </c>
    </row>
    <row r="5" spans="1:14" ht="33.6" customHeight="1" thickBot="1" x14ac:dyDescent="0.35">
      <c r="A5" s="294" t="s">
        <v>18</v>
      </c>
      <c r="B5" s="291" t="s">
        <v>21</v>
      </c>
      <c r="C5" s="291">
        <f>[36]utt_f0_b1!C4</f>
        <v>1.611</v>
      </c>
      <c r="D5" s="291">
        <f>[36]utt_f0_b1!D4</f>
        <v>0.74795525994970802</v>
      </c>
      <c r="E5" s="291">
        <f>[36]utt_f0_b1!E4</f>
        <v>2.4745315263488998</v>
      </c>
      <c r="F5" s="291">
        <f>[36]utt_f0_b1!F4</f>
        <v>0.39300000000000002</v>
      </c>
      <c r="G5" s="291">
        <f>[36]utt_f0_b1!G4</f>
        <v>4.0960000000000001</v>
      </c>
      <c r="H5" s="293">
        <f>[36]utt_f0_b1!H4</f>
        <v>11.26</v>
      </c>
      <c r="I5" s="293">
        <f>[36]utt_f0_b1!I4</f>
        <v>2E-3</v>
      </c>
      <c r="J5" s="317">
        <f>[36]utt_f0_b1!J4</f>
        <v>4.0000000000000001E-3</v>
      </c>
      <c r="K5" s="294" t="str">
        <f>[36]utt_f0_b1!K4</f>
        <v>p&lt;0.01</v>
      </c>
    </row>
    <row r="6" spans="1:14" ht="33.6" customHeight="1" thickBot="1" x14ac:dyDescent="0.35">
      <c r="A6" s="294" t="s">
        <v>19</v>
      </c>
      <c r="B6" s="291" t="s">
        <v>20</v>
      </c>
      <c r="C6" s="291">
        <f>[36]utt_f0_b1!C5</f>
        <v>6.3E-2</v>
      </c>
      <c r="D6" s="291">
        <f>[36]utt_f0_b1!D5</f>
        <v>-0.47452675858097398</v>
      </c>
      <c r="E6" s="291">
        <f>[36]utt_f0_b1!E5</f>
        <v>0.59986469357665495</v>
      </c>
      <c r="F6" s="291">
        <f>[36]utt_f0_b1!F5</f>
        <v>0.24299999999999999</v>
      </c>
      <c r="G6" s="291">
        <f>[36]utt_f0_b1!G5</f>
        <v>0.25800000000000001</v>
      </c>
      <c r="H6" s="293">
        <f>[36]utt_f0_b1!H5</f>
        <v>10.59</v>
      </c>
      <c r="I6" s="293">
        <f>[36]utt_f0_b1!I5</f>
        <v>0.80100000000000005</v>
      </c>
      <c r="J6" s="317">
        <f>[36]utt_f0_b1!J5</f>
        <v>0.879</v>
      </c>
      <c r="K6" s="294">
        <f>[36]utt_f0_b1!K5</f>
        <v>0</v>
      </c>
    </row>
    <row r="7" spans="1:14" ht="33.6" customHeight="1" thickBot="1" x14ac:dyDescent="0.35">
      <c r="A7" s="294" t="s">
        <v>19</v>
      </c>
      <c r="B7" s="291" t="s">
        <v>21</v>
      </c>
      <c r="C7" s="291">
        <f>[36]utt_f0_b1!C6</f>
        <v>1.1419999999999999</v>
      </c>
      <c r="D7" s="291">
        <f>[36]utt_f0_b1!D6</f>
        <v>-0.153117733840856</v>
      </c>
      <c r="E7" s="291">
        <f>[36]utt_f0_b1!E6</f>
        <v>2.4366962216536301</v>
      </c>
      <c r="F7" s="291">
        <f>[36]utt_f0_b1!F6</f>
        <v>0.58499999999999996</v>
      </c>
      <c r="G7" s="291">
        <f>[36]utt_f0_b1!G6</f>
        <v>1.9510000000000001</v>
      </c>
      <c r="H7" s="293">
        <f>[36]utt_f0_b1!H6</f>
        <v>10.56</v>
      </c>
      <c r="I7" s="293">
        <f>[36]utt_f0_b1!I6</f>
        <v>7.8E-2</v>
      </c>
      <c r="J7" s="317">
        <f>[36]utt_f0_b1!J6</f>
        <v>0.11</v>
      </c>
      <c r="K7" s="294">
        <f>[36]utt_f0_b1!K6</f>
        <v>0</v>
      </c>
    </row>
    <row r="8" spans="1:14" ht="33.6" customHeight="1" thickBot="1" x14ac:dyDescent="0.35">
      <c r="A8" s="290" t="s">
        <v>20</v>
      </c>
      <c r="B8" s="287" t="s">
        <v>21</v>
      </c>
      <c r="C8" s="287">
        <f>[36]utt_f0_b1!C7</f>
        <v>1.079</v>
      </c>
      <c r="D8" s="287">
        <f>[36]utt_f0_b1!D7</f>
        <v>-4.86078358637431E-2</v>
      </c>
      <c r="E8" s="287">
        <f>[36]utt_f0_b1!E7</f>
        <v>2.2068583933924799</v>
      </c>
      <c r="F8" s="287">
        <f>[36]utt_f0_b1!F7</f>
        <v>0.50700000000000001</v>
      </c>
      <c r="G8" s="287">
        <f>[36]utt_f0_b1!G7</f>
        <v>2.1269999999999998</v>
      </c>
      <c r="H8" s="289">
        <f>[36]utt_f0_b1!H7</f>
        <v>10.17</v>
      </c>
      <c r="I8" s="289">
        <f>[36]utt_f0_b1!I7</f>
        <v>5.8999999999999997E-2</v>
      </c>
      <c r="J8" s="316">
        <f>[36]utt_f0_b1!J7</f>
        <v>8.6999999999999994E-2</v>
      </c>
      <c r="K8" s="290">
        <f>[36]utt_f0_b1!K7</f>
        <v>0</v>
      </c>
    </row>
    <row r="10" spans="1:14" ht="33" customHeight="1" thickBot="1" x14ac:dyDescent="0.35">
      <c r="A10" s="303" t="s">
        <v>94</v>
      </c>
    </row>
    <row r="11" spans="1:14" ht="25.2" customHeight="1" thickTop="1" thickBot="1" x14ac:dyDescent="0.35">
      <c r="A11" s="299" t="str">
        <f>[38]utt_slope_b1!A1</f>
        <v>intercept</v>
      </c>
      <c r="B11" s="299" t="str">
        <f>[38]utt_slope_b1!B1</f>
        <v>slope</v>
      </c>
      <c r="C11" s="299" t="str">
        <f>[38]utt_slope_b1!C1</f>
        <v>estimate</v>
      </c>
      <c r="D11" s="299" t="str">
        <f>[38]utt_slope_b1!D1</f>
        <v>conf.low</v>
      </c>
      <c r="E11" s="299" t="str">
        <f>[38]utt_slope_b1!E1</f>
        <v>conf.high</v>
      </c>
      <c r="F11" s="299" t="str">
        <f>[38]utt_slope_b1!F1</f>
        <v>std.error</v>
      </c>
      <c r="G11" s="299" t="str">
        <f>[38]utt_slope_b1!G1</f>
        <v>t.value</v>
      </c>
      <c r="H11" s="299" t="str">
        <f>[38]utt_slope_b1!H1</f>
        <v>df</v>
      </c>
      <c r="I11" s="300" t="str">
        <f>[38]utt_slope_b1!I1</f>
        <v>p.value</v>
      </c>
      <c r="J11" s="300" t="str">
        <f>[38]utt_slope_b1!J1</f>
        <v>p.adj (BH)</v>
      </c>
      <c r="K11" s="299" t="str">
        <f>[38]utt_slope_b1!K1</f>
        <v>signif.</v>
      </c>
      <c r="M11" s="299" t="s">
        <v>97</v>
      </c>
      <c r="N11" s="299" t="s">
        <v>96</v>
      </c>
    </row>
    <row r="12" spans="1:14" ht="33.6" customHeight="1" thickTop="1" thickBot="1" x14ac:dyDescent="0.35">
      <c r="A12" s="298" t="s">
        <v>18</v>
      </c>
      <c r="B12" s="295" t="s">
        <v>19</v>
      </c>
      <c r="C12" s="295">
        <f>[38]utt_slope_b1!C2</f>
        <v>-2.093</v>
      </c>
      <c r="D12" s="295">
        <f>[38]utt_slope_b1!D2</f>
        <v>-4.8500048198338899</v>
      </c>
      <c r="E12" s="295">
        <f>[38]utt_slope_b1!E2</f>
        <v>0.66381613021775598</v>
      </c>
      <c r="F12" s="295">
        <f>[38]utt_slope_b1!F2</f>
        <v>1.2390000000000001</v>
      </c>
      <c r="G12" s="295">
        <f>[38]utt_slope_b1!G2</f>
        <v>-1.6890000000000001</v>
      </c>
      <c r="H12" s="295">
        <f>[38]utt_slope_b1!H2</f>
        <v>10.11</v>
      </c>
      <c r="I12" s="297">
        <f>[38]utt_slope_b1!I2</f>
        <v>0.122</v>
      </c>
      <c r="J12" s="296">
        <f>[38]utt_slope_b1!J2</f>
        <v>0.16700000000000001</v>
      </c>
      <c r="K12" s="298">
        <f>[38]utt_slope_b1!K2</f>
        <v>0</v>
      </c>
      <c r="M12" s="315">
        <f>[39]utt_slope_r2!$B$3</f>
        <v>0.26953753570664701</v>
      </c>
      <c r="N12" s="315">
        <f>[39]utt_slope_r2!$B$2</f>
        <v>0.91258286194614602</v>
      </c>
    </row>
    <row r="13" spans="1:14" ht="33.6" customHeight="1" thickBot="1" x14ac:dyDescent="0.35">
      <c r="A13" s="294" t="s">
        <v>18</v>
      </c>
      <c r="B13" s="291" t="s">
        <v>20</v>
      </c>
      <c r="C13" s="291">
        <f>[38]utt_slope_b1!C3</f>
        <v>2.907</v>
      </c>
      <c r="D13" s="291">
        <f>[38]utt_slope_b1!D3</f>
        <v>1.2891062804668101</v>
      </c>
      <c r="E13" s="291">
        <f>[38]utt_slope_b1!E3</f>
        <v>4.5244332348265397</v>
      </c>
      <c r="F13" s="291">
        <f>[38]utt_slope_b1!F3</f>
        <v>0.72699999999999998</v>
      </c>
      <c r="G13" s="291">
        <f>[38]utt_slope_b1!G3</f>
        <v>3.9969999999999999</v>
      </c>
      <c r="H13" s="314">
        <f>[38]utt_slope_b1!H3</f>
        <v>10.119999999999999</v>
      </c>
      <c r="I13" s="293">
        <f>[38]utt_slope_b1!I3</f>
        <v>2E-3</v>
      </c>
      <c r="J13" s="292">
        <f>[38]utt_slope_b1!J3</f>
        <v>4.0000000000000001E-3</v>
      </c>
      <c r="K13" s="294" t="str">
        <f>[38]utt_slope_b1!K3</f>
        <v>p&lt;0.01</v>
      </c>
    </row>
    <row r="14" spans="1:14" ht="33.6" customHeight="1" thickBot="1" x14ac:dyDescent="0.35">
      <c r="A14" s="294" t="s">
        <v>18</v>
      </c>
      <c r="B14" s="291" t="s">
        <v>21</v>
      </c>
      <c r="C14" s="291">
        <f>[38]utt_slope_b1!C4</f>
        <v>5.07</v>
      </c>
      <c r="D14" s="291">
        <f>[38]utt_slope_b1!D4</f>
        <v>3.0169488394014401</v>
      </c>
      <c r="E14" s="291">
        <f>[38]utt_slope_b1!E4</f>
        <v>7.1230429774581703</v>
      </c>
      <c r="F14" s="291">
        <f>[38]utt_slope_b1!F4</f>
        <v>0.93</v>
      </c>
      <c r="G14" s="291">
        <f>[38]utt_slope_b1!G4</f>
        <v>5.4489999999999998</v>
      </c>
      <c r="H14" s="314">
        <f>[38]utt_slope_b1!H4</f>
        <v>10.78</v>
      </c>
      <c r="I14" s="293">
        <f>[38]utt_slope_b1!I4</f>
        <v>2.2000000000000001E-4</v>
      </c>
      <c r="J14" s="292">
        <f>[38]utt_slope_b1!J4</f>
        <v>5.1999999999999995E-4</v>
      </c>
      <c r="K14" s="294" t="str">
        <f>[38]utt_slope_b1!K4</f>
        <v>p&lt;0.001</v>
      </c>
    </row>
    <row r="15" spans="1:14" ht="33.6" customHeight="1" thickBot="1" x14ac:dyDescent="0.35">
      <c r="A15" s="294" t="s">
        <v>19</v>
      </c>
      <c r="B15" s="291" t="s">
        <v>20</v>
      </c>
      <c r="C15" s="291">
        <f>[38]utt_slope_b1!C5</f>
        <v>5</v>
      </c>
      <c r="D15" s="291">
        <f>[38]utt_slope_b1!D5</f>
        <v>2.0744151301770501</v>
      </c>
      <c r="E15" s="291">
        <f>[38]utt_slope_b1!E5</f>
        <v>7.9253164313353501</v>
      </c>
      <c r="F15" s="291">
        <f>[38]utt_slope_b1!F5</f>
        <v>1.3169999999999999</v>
      </c>
      <c r="G15" s="291">
        <f>[38]utt_slope_b1!G5</f>
        <v>3.7959999999999998</v>
      </c>
      <c r="H15" s="314">
        <f>[38]utt_slope_b1!H5</f>
        <v>10.24</v>
      </c>
      <c r="I15" s="293">
        <f>[38]utt_slope_b1!I5</f>
        <v>3.0000000000000001E-3</v>
      </c>
      <c r="J15" s="292">
        <f>[38]utt_slope_b1!J5</f>
        <v>5.0000000000000001E-3</v>
      </c>
      <c r="K15" s="294" t="str">
        <f>[38]utt_slope_b1!K5</f>
        <v>p&lt;0.01</v>
      </c>
    </row>
    <row r="16" spans="1:14" ht="33.6" customHeight="1" thickBot="1" x14ac:dyDescent="0.35">
      <c r="A16" s="294" t="s">
        <v>19</v>
      </c>
      <c r="B16" s="291" t="s">
        <v>21</v>
      </c>
      <c r="C16" s="291">
        <f>[38]utt_slope_b1!C6</f>
        <v>7.1630000000000003</v>
      </c>
      <c r="D16" s="291">
        <f>[38]utt_slope_b1!D6</f>
        <v>3.63149587483408</v>
      </c>
      <c r="E16" s="291">
        <f>[38]utt_slope_b1!E6</f>
        <v>10.694690908964599</v>
      </c>
      <c r="F16" s="291">
        <f>[38]utt_slope_b1!F6</f>
        <v>1.593</v>
      </c>
      <c r="G16" s="291">
        <f>[38]utt_slope_b1!G6</f>
        <v>4.4950000000000001</v>
      </c>
      <c r="H16" s="314">
        <f>[38]utt_slope_b1!H6</f>
        <v>10.41</v>
      </c>
      <c r="I16" s="293">
        <f>[38]utt_slope_b1!I6</f>
        <v>1E-3</v>
      </c>
      <c r="J16" s="292">
        <f>[38]utt_slope_b1!J6</f>
        <v>2E-3</v>
      </c>
      <c r="K16" s="294" t="str">
        <f>[38]utt_slope_b1!K6</f>
        <v>p&lt;0.01</v>
      </c>
    </row>
    <row r="17" spans="1:14" ht="33.6" customHeight="1" thickBot="1" x14ac:dyDescent="0.35">
      <c r="A17" s="290" t="s">
        <v>20</v>
      </c>
      <c r="B17" s="287" t="s">
        <v>21</v>
      </c>
      <c r="C17" s="287">
        <f>[38]utt_slope_b1!C7</f>
        <v>2.1629999999999998</v>
      </c>
      <c r="D17" s="287">
        <f>[38]utt_slope_b1!D7</f>
        <v>0.87233269943435898</v>
      </c>
      <c r="E17" s="287">
        <f>[38]utt_slope_b1!E7</f>
        <v>3.4541186027926698</v>
      </c>
      <c r="F17" s="287">
        <f>[38]utt_slope_b1!F7</f>
        <v>0.57799999999999996</v>
      </c>
      <c r="G17" s="287">
        <f>[38]utt_slope_b1!G7</f>
        <v>3.74</v>
      </c>
      <c r="H17" s="313">
        <f>[38]utt_slope_b1!H7</f>
        <v>9.8699999999999992</v>
      </c>
      <c r="I17" s="289">
        <f>[38]utt_slope_b1!I7</f>
        <v>4.0000000000000001E-3</v>
      </c>
      <c r="J17" s="288">
        <f>[38]utt_slope_b1!J7</f>
        <v>7.0000000000000001E-3</v>
      </c>
      <c r="K17" s="290" t="str">
        <f>[38]utt_slope_b1!K7</f>
        <v>p&lt;0.01</v>
      </c>
    </row>
    <row r="19" spans="1:14" ht="26.4" thickBot="1" x14ac:dyDescent="0.35">
      <c r="A19" s="303" t="s">
        <v>98</v>
      </c>
    </row>
    <row r="20" spans="1:14" ht="33.6" customHeight="1" thickTop="1" thickBot="1" x14ac:dyDescent="0.35">
      <c r="A20" s="299" t="str">
        <f>A11</f>
        <v>intercept</v>
      </c>
      <c r="B20" s="299" t="str">
        <f>B11</f>
        <v>slope</v>
      </c>
      <c r="C20" s="299" t="str">
        <f>[40]utt_slope_no_phonology_b1!C1</f>
        <v>estimate</v>
      </c>
      <c r="D20" s="299" t="str">
        <f>[40]utt_slope_no_phonology_b1!D1</f>
        <v>conf.low</v>
      </c>
      <c r="E20" s="299" t="str">
        <f>[40]utt_slope_no_phonology_b1!E1</f>
        <v>conf.high</v>
      </c>
      <c r="F20" s="299" t="str">
        <f>[40]utt_slope_no_phonology_b1!F1</f>
        <v>std.error</v>
      </c>
      <c r="G20" s="299" t="str">
        <f>[40]utt_slope_no_phonology_b1!G1</f>
        <v>t.value</v>
      </c>
      <c r="H20" s="299" t="str">
        <f>[40]utt_slope_no_phonology_b1!H1</f>
        <v>df</v>
      </c>
      <c r="I20" s="300" t="str">
        <f>[40]utt_slope_no_phonology_b1!I1</f>
        <v>p.value</v>
      </c>
      <c r="J20" s="300" t="str">
        <f>[40]utt_slope_no_phonology_b1!J1</f>
        <v>p.adj (BH)</v>
      </c>
      <c r="K20" s="299" t="str">
        <f>[40]utt_slope_no_phonology_b1!K1</f>
        <v>signif.</v>
      </c>
      <c r="M20" s="299" t="s">
        <v>97</v>
      </c>
      <c r="N20" s="299" t="s">
        <v>96</v>
      </c>
    </row>
    <row r="21" spans="1:14" ht="33.6" customHeight="1" thickTop="1" thickBot="1" x14ac:dyDescent="0.35">
      <c r="A21" s="298" t="s">
        <v>18</v>
      </c>
      <c r="B21" s="295" t="s">
        <v>19</v>
      </c>
      <c r="C21" s="295">
        <f>[40]utt_slope_no_phonology_b1!C2</f>
        <v>-2.4249999999999998</v>
      </c>
      <c r="D21" s="295">
        <f>[40]utt_slope_no_phonology_b1!D2</f>
        <v>-5.1648506748671297</v>
      </c>
      <c r="E21" s="295">
        <f>[40]utt_slope_no_phonology_b1!E2</f>
        <v>0.31476883778365999</v>
      </c>
      <c r="F21" s="295">
        <f>[40]utt_slope_no_phonology_b1!F2</f>
        <v>1.23</v>
      </c>
      <c r="G21" s="295">
        <f>[40]utt_slope_no_phonology_b1!G2</f>
        <v>-1.972</v>
      </c>
      <c r="H21" s="295">
        <f>[40]utt_slope_no_phonology_b1!H2</f>
        <v>9.99</v>
      </c>
      <c r="I21" s="297">
        <f>[40]utt_slope_no_phonology_b1!I2</f>
        <v>7.6999999999999999E-2</v>
      </c>
      <c r="J21" s="296">
        <f>[40]utt_slope_no_phonology_b1!J2</f>
        <v>0.11</v>
      </c>
      <c r="K21" s="298">
        <f>[40]utt_slope_no_phonology_b1!K2</f>
        <v>0</v>
      </c>
      <c r="M21" s="315">
        <f>[41]utt_slope_no_phonology_r2!$B$3</f>
        <v>0.50064598788705905</v>
      </c>
      <c r="N21" s="315">
        <f>[41]utt_slope_no_phonology_r2!$B$2</f>
        <v>0.82651743401007005</v>
      </c>
    </row>
    <row r="22" spans="1:14" ht="33.6" customHeight="1" thickBot="1" x14ac:dyDescent="0.35">
      <c r="A22" s="294" t="s">
        <v>18</v>
      </c>
      <c r="B22" s="291" t="s">
        <v>20</v>
      </c>
      <c r="C22" s="291">
        <f>[40]utt_slope_no_phonology_b1!C3</f>
        <v>3.55</v>
      </c>
      <c r="D22" s="291">
        <f>[40]utt_slope_no_phonology_b1!D3</f>
        <v>1.68861578034655</v>
      </c>
      <c r="E22" s="291">
        <f>[40]utt_slope_no_phonology_b1!E3</f>
        <v>5.4106698103847899</v>
      </c>
      <c r="F22" s="291">
        <f>[40]utt_slope_no_phonology_b1!F3</f>
        <v>0.83499999999999996</v>
      </c>
      <c r="G22" s="291">
        <f>[40]utt_slope_no_phonology_b1!G3</f>
        <v>4.2510000000000003</v>
      </c>
      <c r="H22" s="314">
        <f>[40]utt_slope_no_phonology_b1!H3</f>
        <v>9.99</v>
      </c>
      <c r="I22" s="293">
        <f>[40]utt_slope_no_phonology_b1!I3</f>
        <v>2E-3</v>
      </c>
      <c r="J22" s="292">
        <f>[40]utt_slope_no_phonology_b1!J3</f>
        <v>4.0000000000000001E-3</v>
      </c>
      <c r="K22" s="294" t="str">
        <f>[40]utt_slope_no_phonology_b1!K3</f>
        <v>p&lt;0.01</v>
      </c>
    </row>
    <row r="23" spans="1:14" ht="33.6" customHeight="1" thickBot="1" x14ac:dyDescent="0.35">
      <c r="A23" s="294" t="s">
        <v>18</v>
      </c>
      <c r="B23" s="291" t="s">
        <v>21</v>
      </c>
      <c r="C23" s="291">
        <f>[40]utt_slope_no_phonology_b1!C4</f>
        <v>6.6139999999999999</v>
      </c>
      <c r="D23" s="291">
        <f>[40]utt_slope_no_phonology_b1!D4</f>
        <v>4.0422738277759702</v>
      </c>
      <c r="E23" s="291">
        <f>[40]utt_slope_no_phonology_b1!E4</f>
        <v>9.1858107901548003</v>
      </c>
      <c r="F23" s="291">
        <f>[40]utt_slope_no_phonology_b1!F4</f>
        <v>1.1559999999999999</v>
      </c>
      <c r="G23" s="291">
        <f>[40]utt_slope_no_phonology_b1!G4</f>
        <v>5.7240000000000002</v>
      </c>
      <c r="H23" s="314">
        <f>[40]utt_slope_no_phonology_b1!H4</f>
        <v>10.08</v>
      </c>
      <c r="I23" s="293">
        <f>[40]utt_slope_no_phonology_b1!I4</f>
        <v>1.9000000000000001E-4</v>
      </c>
      <c r="J23" s="292">
        <f>[40]utt_slope_no_phonology_b1!J4</f>
        <v>4.6999999999999999E-4</v>
      </c>
      <c r="K23" s="294" t="str">
        <f>[40]utt_slope_no_phonology_b1!K4</f>
        <v>p&lt;0.001</v>
      </c>
    </row>
    <row r="24" spans="1:14" ht="33.6" customHeight="1" thickBot="1" x14ac:dyDescent="0.35">
      <c r="A24" s="294" t="s">
        <v>19</v>
      </c>
      <c r="B24" s="291" t="s">
        <v>20</v>
      </c>
      <c r="C24" s="291">
        <f>[40]utt_slope_no_phonology_b1!C5</f>
        <v>5.9749999999999996</v>
      </c>
      <c r="D24" s="291">
        <f>[40]utt_slope_no_phonology_b1!D5</f>
        <v>2.8009805410186699</v>
      </c>
      <c r="E24" s="291">
        <f>[40]utt_slope_no_phonology_b1!E5</f>
        <v>9.1483861911875906</v>
      </c>
      <c r="F24" s="291">
        <f>[40]utt_slope_no_phonology_b1!F5</f>
        <v>1.4239999999999999</v>
      </c>
      <c r="G24" s="291">
        <f>[40]utt_slope_no_phonology_b1!G5</f>
        <v>4.1950000000000003</v>
      </c>
      <c r="H24" s="314">
        <f>[40]utt_slope_no_phonology_b1!H5</f>
        <v>10</v>
      </c>
      <c r="I24" s="293">
        <f>[40]utt_slope_no_phonology_b1!I5</f>
        <v>2E-3</v>
      </c>
      <c r="J24" s="292">
        <f>[40]utt_slope_no_phonology_b1!J5</f>
        <v>4.0000000000000001E-3</v>
      </c>
      <c r="K24" s="294" t="str">
        <f>[40]utt_slope_no_phonology_b1!K5</f>
        <v>p&lt;0.01</v>
      </c>
    </row>
    <row r="25" spans="1:14" ht="33.6" customHeight="1" thickBot="1" x14ac:dyDescent="0.35">
      <c r="A25" s="294" t="s">
        <v>19</v>
      </c>
      <c r="B25" s="291" t="s">
        <v>21</v>
      </c>
      <c r="C25" s="291">
        <f>[40]utt_slope_no_phonology_b1!C6</f>
        <v>9.0389999999999997</v>
      </c>
      <c r="D25" s="291">
        <f>[40]utt_slope_no_phonology_b1!D6</f>
        <v>5.1135217823264796</v>
      </c>
      <c r="E25" s="291">
        <f>[40]utt_slope_no_phonology_b1!E6</f>
        <v>12.964643526771599</v>
      </c>
      <c r="F25" s="291">
        <f>[40]utt_slope_no_phonology_b1!F6</f>
        <v>1.762</v>
      </c>
      <c r="G25" s="291">
        <f>[40]utt_slope_no_phonology_b1!G6</f>
        <v>5.1289999999999996</v>
      </c>
      <c r="H25" s="314">
        <f>[40]utt_slope_no_phonology_b1!H6</f>
        <v>10.029999999999999</v>
      </c>
      <c r="I25" s="293">
        <f>[40]utt_slope_no_phonology_b1!I6</f>
        <v>4.4000000000000002E-4</v>
      </c>
      <c r="J25" s="292">
        <f>[40]utt_slope_no_phonology_b1!J6</f>
        <v>9.6000000000000002E-4</v>
      </c>
      <c r="K25" s="294" t="str">
        <f>[40]utt_slope_no_phonology_b1!K6</f>
        <v>p&lt;0.001</v>
      </c>
    </row>
    <row r="26" spans="1:14" ht="33.6" customHeight="1" thickBot="1" x14ac:dyDescent="0.35">
      <c r="A26" s="290" t="s">
        <v>20</v>
      </c>
      <c r="B26" s="287" t="s">
        <v>21</v>
      </c>
      <c r="C26" s="287">
        <f>[40]utt_slope_no_phonology_b1!C7</f>
        <v>3.0640000000000001</v>
      </c>
      <c r="D26" s="287">
        <f>[40]utt_slope_no_phonology_b1!D7</f>
        <v>1.2156559704579</v>
      </c>
      <c r="E26" s="287">
        <f>[40]utt_slope_no_phonology_b1!E7</f>
        <v>4.9131421564923397</v>
      </c>
      <c r="F26" s="287">
        <f>[40]utt_slope_no_phonology_b1!F7</f>
        <v>0.82799999999999996</v>
      </c>
      <c r="G26" s="287">
        <f>[40]utt_slope_no_phonology_b1!G7</f>
        <v>3.6989999999999998</v>
      </c>
      <c r="H26" s="313">
        <f>[40]utt_slope_no_phonology_b1!H7</f>
        <v>9.89</v>
      </c>
      <c r="I26" s="289">
        <f>[40]utt_slope_no_phonology_b1!I7</f>
        <v>4.0000000000000001E-3</v>
      </c>
      <c r="J26" s="288">
        <f>[40]utt_slope_no_phonology_b1!J7</f>
        <v>7.0000000000000001E-3</v>
      </c>
      <c r="K26" s="290" t="str">
        <f>[40]utt_slope_no_phonology_b1!K7</f>
        <v>p&lt;0.01</v>
      </c>
    </row>
  </sheetData>
  <conditionalFormatting sqref="J17">
    <cfRule type="containsText" dxfId="26" priority="24" stopIfTrue="1" operator="containsText" text="p&lt;0.001">
      <formula>NOT(ISERROR(SEARCH("p&lt;0.001",J17)))</formula>
    </cfRule>
    <cfRule type="containsText" dxfId="25" priority="25" stopIfTrue="1" operator="containsText" text="p&lt;0.01">
      <formula>NOT(ISERROR(SEARCH("p&lt;0.01",J17)))</formula>
    </cfRule>
    <cfRule type="containsText" dxfId="24" priority="26" stopIfTrue="1" operator="containsText" text="p&lt;0.05">
      <formula>NOT(ISERROR(SEARCH("p&lt;0.05",J17)))</formula>
    </cfRule>
    <cfRule type="containsText" dxfId="23" priority="27" stopIfTrue="1" operator="containsText" text="p&lt;0.1">
      <formula>NOT(ISERROR(SEARCH("p&lt;0.1",J17)))</formula>
    </cfRule>
  </conditionalFormatting>
  <conditionalFormatting sqref="J17">
    <cfRule type="containsText" dxfId="22" priority="16" stopIfTrue="1" operator="containsText" text="p&lt;0.001">
      <formula>NOT(ISERROR(SEARCH("p&lt;0.001",J17)))</formula>
    </cfRule>
    <cfRule type="containsText" dxfId="21" priority="17" stopIfTrue="1" operator="containsText" text="p&lt;0.01">
      <formula>NOT(ISERROR(SEARCH("p&lt;0.01",J17)))</formula>
    </cfRule>
    <cfRule type="containsText" dxfId="20" priority="18" stopIfTrue="1" operator="containsText" text="p&lt;0.05">
      <formula>NOT(ISERROR(SEARCH("p&lt;0.05",J17)))</formula>
    </cfRule>
    <cfRule type="containsText" dxfId="19" priority="19" stopIfTrue="1" operator="containsText" text="p&lt;0.1">
      <formula>NOT(ISERROR(SEARCH("p&lt;0.1",J17)))</formula>
    </cfRule>
  </conditionalFormatting>
  <conditionalFormatting sqref="K12:K17">
    <cfRule type="cellIs" dxfId="18" priority="15" operator="equal">
      <formula>0</formula>
    </cfRule>
  </conditionalFormatting>
  <conditionalFormatting sqref="K3:K8">
    <cfRule type="cellIs" dxfId="17" priority="14" operator="equal">
      <formula>0</formula>
    </cfRule>
  </conditionalFormatting>
  <conditionalFormatting sqref="I3:J8 I12:J17">
    <cfRule type="cellIs" dxfId="16" priority="20" stopIfTrue="1" operator="lessThan">
      <formula>0.0001</formula>
    </cfRule>
    <cfRule type="cellIs" dxfId="15" priority="21" stopIfTrue="1" operator="lessThan">
      <formula>0.001</formula>
    </cfRule>
    <cfRule type="cellIs" dxfId="14" priority="22" stopIfTrue="1" operator="lessThan">
      <formula>0.05</formula>
    </cfRule>
    <cfRule type="cellIs" dxfId="13" priority="23" stopIfTrue="1" operator="lessThan">
      <formula>0.1</formula>
    </cfRule>
  </conditionalFormatting>
  <conditionalFormatting sqref="J26">
    <cfRule type="containsText" dxfId="12" priority="10" stopIfTrue="1" operator="containsText" text="p&lt;0.001">
      <formula>NOT(ISERROR(SEARCH("p&lt;0.001",J26)))</formula>
    </cfRule>
    <cfRule type="containsText" dxfId="11" priority="11" stopIfTrue="1" operator="containsText" text="p&lt;0.01">
      <formula>NOT(ISERROR(SEARCH("p&lt;0.01",J26)))</formula>
    </cfRule>
    <cfRule type="containsText" dxfId="10" priority="12" stopIfTrue="1" operator="containsText" text="p&lt;0.05">
      <formula>NOT(ISERROR(SEARCH("p&lt;0.05",J26)))</formula>
    </cfRule>
    <cfRule type="containsText" dxfId="9" priority="13" stopIfTrue="1" operator="containsText" text="p&lt;0.1">
      <formula>NOT(ISERROR(SEARCH("p&lt;0.1",J26)))</formula>
    </cfRule>
  </conditionalFormatting>
  <conditionalFormatting sqref="J26">
    <cfRule type="containsText" dxfId="8" priority="2" stopIfTrue="1" operator="containsText" text="p&lt;0.001">
      <formula>NOT(ISERROR(SEARCH("p&lt;0.001",J26)))</formula>
    </cfRule>
    <cfRule type="containsText" dxfId="7" priority="3" stopIfTrue="1" operator="containsText" text="p&lt;0.01">
      <formula>NOT(ISERROR(SEARCH("p&lt;0.01",J26)))</formula>
    </cfRule>
    <cfRule type="containsText" dxfId="6" priority="4" stopIfTrue="1" operator="containsText" text="p&lt;0.05">
      <formula>NOT(ISERROR(SEARCH("p&lt;0.05",J26)))</formula>
    </cfRule>
    <cfRule type="containsText" dxfId="5" priority="5" stopIfTrue="1" operator="containsText" text="p&lt;0.1">
      <formula>NOT(ISERROR(SEARCH("p&lt;0.1",J26)))</formula>
    </cfRule>
  </conditionalFormatting>
  <conditionalFormatting sqref="K21:K26">
    <cfRule type="cellIs" dxfId="4" priority="1" operator="equal">
      <formula>0</formula>
    </cfRule>
  </conditionalFormatting>
  <conditionalFormatting sqref="I21:J26">
    <cfRule type="cellIs" dxfId="3" priority="6" stopIfTrue="1" operator="lessThan">
      <formula>0.0001</formula>
    </cfRule>
    <cfRule type="cellIs" dxfId="2" priority="7" stopIfTrue="1" operator="lessThan">
      <formula>0.001</formula>
    </cfRule>
    <cfRule type="cellIs" dxfId="1" priority="8" stopIfTrue="1" operator="lessThan">
      <formula>0.05</formula>
    </cfRule>
    <cfRule type="cellIs" dxfId="0" priority="9" stopIfTrue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>
      <selection activeCell="F32" sqref="F32"/>
    </sheetView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>DEC2HEX((ROUND(K18*255,0)))</f>
        <v>5F</v>
      </c>
    </row>
    <row r="19" spans="11:12" x14ac:dyDescent="0.3">
      <c r="K19">
        <v>7.843137E-3</v>
      </c>
      <c r="L19" t="str">
        <f>DEC2HEX((ROUND(K19*255,0)))</f>
        <v>2</v>
      </c>
    </row>
    <row r="23" spans="11:12" x14ac:dyDescent="0.3">
      <c r="K23">
        <v>1</v>
      </c>
      <c r="L23" t="str">
        <f>DEC2HEX((ROUND(K23*255,0)))</f>
        <v>FF</v>
      </c>
    </row>
    <row r="24" spans="11:12" x14ac:dyDescent="0.3">
      <c r="K24">
        <v>0.62254902000000001</v>
      </c>
      <c r="L24" t="str">
        <f>DEC2HEX((ROUND(K24*255,0)))</f>
        <v>9F</v>
      </c>
    </row>
    <row r="25" spans="11:12" x14ac:dyDescent="0.3">
      <c r="K25">
        <v>0.257843137</v>
      </c>
      <c r="L25" t="str">
        <f>DEC2HEX((ROUND(K25*255,0)))</f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DB1-D61E-483F-B646-F10C5F176B9B}">
  <sheetPr>
    <pageSetUpPr fitToPage="1"/>
  </sheetPr>
  <dimension ref="A1:BA30"/>
  <sheetViews>
    <sheetView showGridLines="0" zoomScaleNormal="100" zoomScaleSheetLayoutView="55" workbookViewId="0">
      <selection activeCell="M1" sqref="M1"/>
    </sheetView>
  </sheetViews>
  <sheetFormatPr defaultColWidth="13.88671875" defaultRowHeight="13.2" x14ac:dyDescent="0.25"/>
  <cols>
    <col min="1" max="1" width="13.21875" style="226" bestFit="1" customWidth="1"/>
    <col min="2" max="2" width="7.109375" style="223" customWidth="1"/>
    <col min="3" max="4" width="9.6640625" style="223" customWidth="1"/>
    <col min="5" max="5" width="8.109375" style="223" customWidth="1"/>
    <col min="6" max="6" width="7.44140625" style="223" customWidth="1"/>
    <col min="7" max="7" width="8.44140625" style="223" customWidth="1"/>
    <col min="8" max="8" width="8.21875" style="223" customWidth="1"/>
    <col min="9" max="9" width="10.21875" style="225" customWidth="1"/>
    <col min="10" max="10" width="10.44140625" style="225" customWidth="1"/>
    <col min="11" max="11" width="11.44140625" style="322" customWidth="1"/>
    <col min="12" max="12" width="11.44140625" style="223" customWidth="1"/>
    <col min="13" max="14" width="8.6640625" style="223" customWidth="1"/>
    <col min="15" max="15" width="11.44140625" style="224" customWidth="1"/>
    <col min="16" max="16" width="9.6640625" style="224" customWidth="1"/>
    <col min="17" max="17" width="11.44140625" style="224" customWidth="1"/>
    <col min="18" max="19" width="7.6640625" style="223" customWidth="1"/>
    <col min="20" max="21" width="11.44140625" style="223" customWidth="1"/>
    <col min="22" max="23" width="8.6640625" style="223" customWidth="1"/>
    <col min="24" max="24" width="11.44140625" style="224" customWidth="1"/>
    <col min="25" max="25" width="9.6640625" style="224" customWidth="1"/>
    <col min="26" max="26" width="11.44140625" style="224" customWidth="1"/>
    <col min="27" max="28" width="7.6640625" style="223" customWidth="1"/>
    <col min="29" max="30" width="11.44140625" style="223" customWidth="1"/>
    <col min="31" max="32" width="8.6640625" style="223" customWidth="1"/>
    <col min="33" max="33" width="11.44140625" style="224" customWidth="1"/>
    <col min="34" max="34" width="9.6640625" style="224" customWidth="1"/>
    <col min="35" max="35" width="11.44140625" style="224" customWidth="1"/>
    <col min="36" max="37" width="7.6640625" style="223" customWidth="1"/>
    <col min="38" max="39" width="11.44140625" style="223" customWidth="1"/>
    <col min="40" max="41" width="8.6640625" style="223" customWidth="1"/>
    <col min="42" max="42" width="11.44140625" style="224" customWidth="1"/>
    <col min="43" max="43" width="9.6640625" style="224" customWidth="1"/>
    <col min="44" max="44" width="11.44140625" style="224" customWidth="1"/>
    <col min="45" max="46" width="7.6640625" style="223" customWidth="1"/>
    <col min="47" max="48" width="11.44140625" style="223" customWidth="1"/>
    <col min="49" max="50" width="8.6640625" style="223" customWidth="1"/>
    <col min="51" max="51" width="11.44140625" style="224" customWidth="1"/>
    <col min="52" max="52" width="9.6640625" style="224" customWidth="1"/>
    <col min="53" max="53" width="11.44140625" style="224" customWidth="1"/>
    <col min="54" max="55" width="11.44140625" style="223" customWidth="1"/>
    <col min="56" max="16384" width="13.88671875" style="223"/>
  </cols>
  <sheetData>
    <row r="1" spans="1:11" s="248" customFormat="1" ht="15.6" thickTop="1" thickBot="1" x14ac:dyDescent="0.3">
      <c r="A1" s="243" t="s">
        <v>71</v>
      </c>
      <c r="B1" s="242" t="s">
        <v>82</v>
      </c>
      <c r="C1" s="242" t="s">
        <v>10</v>
      </c>
      <c r="D1" s="242" t="s">
        <v>11</v>
      </c>
      <c r="E1" s="242" t="s">
        <v>2</v>
      </c>
      <c r="F1" s="242" t="s">
        <v>8</v>
      </c>
      <c r="G1" s="242" t="s">
        <v>12</v>
      </c>
      <c r="H1" s="242" t="s">
        <v>22</v>
      </c>
      <c r="I1" s="244" t="s">
        <v>67</v>
      </c>
      <c r="J1" s="244" t="s">
        <v>27</v>
      </c>
      <c r="K1" s="320" t="s">
        <v>105</v>
      </c>
    </row>
    <row r="2" spans="1:11" s="247" customFormat="1" ht="14.4" thickTop="1" thickBot="1" x14ac:dyDescent="0.3">
      <c r="A2" s="237" t="s">
        <v>58</v>
      </c>
      <c r="B2" s="240">
        <f>[9]Mode_l_f0_b1!C2</f>
        <v>0.124</v>
      </c>
      <c r="C2" s="240">
        <f>[9]Mode_l_f0_b1!D2</f>
        <v>-0.18642056809001101</v>
      </c>
      <c r="D2" s="240">
        <f>[9]Mode_l_f0_b1!E2</f>
        <v>0.43513996167241198</v>
      </c>
      <c r="E2" s="235">
        <f>[9]Mode_l_f0_b1!F2</f>
        <v>0.158</v>
      </c>
      <c r="F2" s="235">
        <f>[9]Mode_l_f0_b1!G2</f>
        <v>0.78600000000000003</v>
      </c>
      <c r="G2" s="235">
        <f>[9]Mode_l_f0_b1!H2</f>
        <v>610.99</v>
      </c>
      <c r="H2" s="234">
        <f>[9]Mode_l_f0_b1!I2</f>
        <v>0.432</v>
      </c>
      <c r="I2" s="245">
        <f>[9]Mode_l_f0_b1!J2</f>
        <v>0.51300000000000001</v>
      </c>
      <c r="J2" s="232">
        <f>[9]Mode_l_f0_b1!K2</f>
        <v>0</v>
      </c>
      <c r="K2" s="321">
        <f>B2-C2</f>
        <v>0.31042056809001101</v>
      </c>
    </row>
    <row r="3" spans="1:11" s="247" customFormat="1" ht="13.8" thickBot="1" x14ac:dyDescent="0.3">
      <c r="A3" s="237" t="s">
        <v>59</v>
      </c>
      <c r="B3" s="239">
        <f>[10]Mode_h_f0_b1!C2</f>
        <v>0.40600000000000003</v>
      </c>
      <c r="C3" s="239">
        <f>[10]Mode_h_f0_b1!D2</f>
        <v>-2.8919059791888E-2</v>
      </c>
      <c r="D3" s="239">
        <f>[10]Mode_h_f0_b1!E2</f>
        <v>0.84155505854439805</v>
      </c>
      <c r="E3" s="238">
        <f>[10]Mode_h_f0_b1!F2</f>
        <v>0.222</v>
      </c>
      <c r="F3" s="238">
        <f>[10]Mode_h_f0_b1!G2</f>
        <v>1.833</v>
      </c>
      <c r="G3" s="238">
        <f>[10]Mode_h_f0_b1!H2</f>
        <v>615.98</v>
      </c>
      <c r="H3" s="234">
        <f>[10]Mode_h_f0_b1!I2</f>
        <v>6.7000000000000004E-2</v>
      </c>
      <c r="I3" s="245">
        <f>[10]Mode_h_f0_b1!J2</f>
        <v>9.7000000000000003E-2</v>
      </c>
      <c r="J3" s="232">
        <f>[10]Mode_h_f0_b1!K2</f>
        <v>0</v>
      </c>
      <c r="K3" s="321">
        <f>B3-C3</f>
        <v>0.43491905979188805</v>
      </c>
    </row>
    <row r="4" spans="1:11" s="246" customFormat="1" ht="13.8" thickBot="1" x14ac:dyDescent="0.3">
      <c r="A4" s="237" t="s">
        <v>62</v>
      </c>
      <c r="B4" s="236">
        <f>[11]Mode_l_t_b1!C2</f>
        <v>0.40400000000000003</v>
      </c>
      <c r="C4" s="236">
        <f>[11]Mode_l_t_b1!D2</f>
        <v>-3.53378949890865</v>
      </c>
      <c r="D4" s="236">
        <f>[11]Mode_l_t_b1!E2</f>
        <v>4.3412529801935902</v>
      </c>
      <c r="E4" s="240">
        <f>[11]Mode_l_t_b1!F2</f>
        <v>2.0049999999999999</v>
      </c>
      <c r="F4" s="235">
        <f>[11]Mode_l_t_b1!G2</f>
        <v>0.20100000000000001</v>
      </c>
      <c r="G4" s="235">
        <f>[11]Mode_l_t_b1!H2</f>
        <v>610.88</v>
      </c>
      <c r="H4" s="234">
        <f>[11]Mode_l_t_b1!I2</f>
        <v>0.84</v>
      </c>
      <c r="I4" s="245">
        <f>[11]Mode_l_t_b1!J2</f>
        <v>0.90600000000000003</v>
      </c>
      <c r="J4" s="232">
        <f>[11]Mode_l_t_b1!K2</f>
        <v>0</v>
      </c>
      <c r="K4" s="321">
        <f>B4-C4</f>
        <v>3.9377894989086499</v>
      </c>
    </row>
    <row r="5" spans="1:11" s="246" customFormat="1" ht="13.8" thickBot="1" x14ac:dyDescent="0.3">
      <c r="A5" s="237" t="s">
        <v>63</v>
      </c>
      <c r="B5" s="236">
        <f>[12]Mode_h_t_b1!C2</f>
        <v>-0.373</v>
      </c>
      <c r="C5" s="236">
        <f>[12]Mode_h_t_b1!D2</f>
        <v>-6.1763930344414302</v>
      </c>
      <c r="D5" s="236">
        <f>[12]Mode_h_t_b1!E2</f>
        <v>5.4313420393882499</v>
      </c>
      <c r="E5" s="235">
        <f>[12]Mode_h_t_b1!F2</f>
        <v>2.9550000000000001</v>
      </c>
      <c r="F5" s="235">
        <f>[12]Mode_h_t_b1!G2</f>
        <v>-0.126</v>
      </c>
      <c r="G5" s="235">
        <f>[12]Mode_h_t_b1!H2</f>
        <v>613.04</v>
      </c>
      <c r="H5" s="234">
        <f>[12]Mode_h_t_b1!I2</f>
        <v>0.9</v>
      </c>
      <c r="I5" s="233">
        <f>[12]Mode_h_t_b1!J2</f>
        <v>0.93100000000000005</v>
      </c>
      <c r="J5" s="232">
        <f>[12]Mode_h_t_b1!K2</f>
        <v>0</v>
      </c>
      <c r="K5" s="321">
        <f>B5-C5</f>
        <v>5.80339303444143</v>
      </c>
    </row>
    <row r="6" spans="1:11" ht="14.4" thickTop="1" thickBot="1" x14ac:dyDescent="0.3">
      <c r="A6" s="243" t="s">
        <v>72</v>
      </c>
      <c r="B6" s="242" t="str">
        <f t="shared" ref="B6:J6" si="0">B1</f>
        <v>β1</v>
      </c>
      <c r="C6" s="242" t="str">
        <f t="shared" si="0"/>
        <v>2.5% CI</v>
      </c>
      <c r="D6" s="242" t="str">
        <f t="shared" si="0"/>
        <v>97.5% CI</v>
      </c>
      <c r="E6" s="242" t="str">
        <f t="shared" si="0"/>
        <v xml:space="preserve">SE </v>
      </c>
      <c r="F6" s="242" t="str">
        <f t="shared" si="0"/>
        <v>t</v>
      </c>
      <c r="G6" s="242" t="str">
        <f t="shared" si="0"/>
        <v>df</v>
      </c>
      <c r="H6" s="241" t="str">
        <f t="shared" si="0"/>
        <v>p. val.</v>
      </c>
      <c r="I6" s="241" t="str">
        <f t="shared" si="0"/>
        <v>p.adj</v>
      </c>
      <c r="J6" s="244" t="str">
        <f t="shared" si="0"/>
        <v>sig.</v>
      </c>
      <c r="K6" s="320" t="s">
        <v>105</v>
      </c>
    </row>
    <row r="7" spans="1:11" ht="14.4" thickTop="1" thickBot="1" x14ac:dyDescent="0.3">
      <c r="A7" s="237" t="s">
        <v>58</v>
      </c>
      <c r="B7" s="240">
        <f>[9]Mode_l_f0_b1!C3</f>
        <v>1.621</v>
      </c>
      <c r="C7" s="240">
        <f>[9]Mode_l_f0_b1!D3</f>
        <v>1.3093786725876499</v>
      </c>
      <c r="D7" s="240">
        <f>[9]Mode_l_f0_b1!E3</f>
        <v>1.93347007743885</v>
      </c>
      <c r="E7" s="235">
        <f>[9]Mode_l_f0_b1!F3</f>
        <v>0.159</v>
      </c>
      <c r="F7" s="235">
        <f>[9]Mode_l_f0_b1!G3</f>
        <v>10.204000000000001</v>
      </c>
      <c r="G7" s="235">
        <f>[9]Mode_l_f0_b1!H3</f>
        <v>611.13</v>
      </c>
      <c r="H7" s="234">
        <f>[9]Mode_l_f0_b1!I3</f>
        <v>1.1E-22</v>
      </c>
      <c r="I7" s="233">
        <f>[9]Mode_l_f0_b1!J3</f>
        <v>1.4E-21</v>
      </c>
      <c r="J7" s="232" t="str">
        <f>[9]Mode_l_f0_b1!K3</f>
        <v>p&lt;0.0001</v>
      </c>
      <c r="K7" s="321">
        <f>B7-C7</f>
        <v>0.31162132741235005</v>
      </c>
    </row>
    <row r="8" spans="1:11" ht="13.8" thickBot="1" x14ac:dyDescent="0.3">
      <c r="A8" s="237" t="s">
        <v>59</v>
      </c>
      <c r="B8" s="239">
        <f>[10]Mode_h_f0_b1!C3</f>
        <v>1.7190000000000001</v>
      </c>
      <c r="C8" s="239">
        <f>[10]Mode_h_f0_b1!D3</f>
        <v>1.2820173565612201</v>
      </c>
      <c r="D8" s="239">
        <f>[10]Mode_h_f0_b1!E3</f>
        <v>2.1559517370543801</v>
      </c>
      <c r="E8" s="238">
        <f>[10]Mode_h_f0_b1!F3</f>
        <v>0.223</v>
      </c>
      <c r="F8" s="238">
        <f>[10]Mode_h_f0_b1!G3</f>
        <v>7.7249999999999996</v>
      </c>
      <c r="G8" s="238">
        <f>[10]Mode_h_f0_b1!H3</f>
        <v>616.12</v>
      </c>
      <c r="H8" s="234">
        <f>[10]Mode_h_f0_b1!I3</f>
        <v>4.4999999999999998E-14</v>
      </c>
      <c r="I8" s="233">
        <f>[10]Mode_h_f0_b1!J3</f>
        <v>2.8999999999999998E-13</v>
      </c>
      <c r="J8" s="232" t="str">
        <f>[10]Mode_h_f0_b1!K3</f>
        <v>p&lt;0.0001</v>
      </c>
      <c r="K8" s="321">
        <f>B8-C8</f>
        <v>0.43698264343878002</v>
      </c>
    </row>
    <row r="9" spans="1:11" ht="13.8" thickBot="1" x14ac:dyDescent="0.3">
      <c r="A9" s="237" t="s">
        <v>62</v>
      </c>
      <c r="B9" s="236">
        <f>[11]Mode_l_t_b1!C3</f>
        <v>-2.2949999999999999</v>
      </c>
      <c r="C9" s="236">
        <f>[11]Mode_l_t_b1!D3</f>
        <v>-6.2598052359264003</v>
      </c>
      <c r="D9" s="236">
        <f>[11]Mode_l_t_b1!E3</f>
        <v>1.66925440242729</v>
      </c>
      <c r="E9" s="235">
        <f>[11]Mode_l_t_b1!F3</f>
        <v>2.0190000000000001</v>
      </c>
      <c r="F9" s="235">
        <f>[11]Mode_l_t_b1!G3</f>
        <v>-1.137</v>
      </c>
      <c r="G9" s="235">
        <f>[11]Mode_l_t_b1!H3</f>
        <v>611.71</v>
      </c>
      <c r="H9" s="234">
        <f>[11]Mode_l_t_b1!I3</f>
        <v>0.25600000000000001</v>
      </c>
      <c r="I9" s="234">
        <f>[11]Mode_l_t_b1!J3</f>
        <v>0.32200000000000001</v>
      </c>
      <c r="J9" s="232">
        <f>[11]Mode_l_t_b1!K3</f>
        <v>0</v>
      </c>
      <c r="K9" s="321">
        <f>B9-C9</f>
        <v>3.9648052359264003</v>
      </c>
    </row>
    <row r="10" spans="1:11" ht="13.8" thickBot="1" x14ac:dyDescent="0.3">
      <c r="A10" s="231" t="s">
        <v>63</v>
      </c>
      <c r="B10" s="230">
        <f>[12]Mode_h_t_b1!C3</f>
        <v>-2.4780000000000002</v>
      </c>
      <c r="C10" s="230">
        <f>[12]Mode_h_t_b1!D3</f>
        <v>-8.3141427567449906</v>
      </c>
      <c r="D10" s="230">
        <f>[12]Mode_h_t_b1!E3</f>
        <v>3.35911257504572</v>
      </c>
      <c r="E10" s="229">
        <f>[12]Mode_h_t_b1!F3</f>
        <v>2.972</v>
      </c>
      <c r="F10" s="229">
        <f>[12]Mode_h_t_b1!G3</f>
        <v>-0.83399999999999996</v>
      </c>
      <c r="G10" s="229">
        <f>[12]Mode_h_t_b1!H3</f>
        <v>613.15</v>
      </c>
      <c r="H10" s="228">
        <f>[12]Mode_h_t_b1!I3</f>
        <v>0.40500000000000003</v>
      </c>
      <c r="I10" s="228">
        <f>[12]Mode_h_t_b1!J3</f>
        <v>0.49</v>
      </c>
      <c r="J10" s="227">
        <f>[12]Mode_h_t_b1!K3</f>
        <v>0</v>
      </c>
      <c r="K10" s="321">
        <f>B10-C10</f>
        <v>5.8361427567449908</v>
      </c>
    </row>
    <row r="11" spans="1:11" ht="14.4" thickTop="1" thickBot="1" x14ac:dyDescent="0.3">
      <c r="A11" s="243" t="s">
        <v>73</v>
      </c>
      <c r="B11" s="242" t="str">
        <f t="shared" ref="B11:J11" si="1">B1</f>
        <v>β1</v>
      </c>
      <c r="C11" s="242" t="str">
        <f t="shared" si="1"/>
        <v>2.5% CI</v>
      </c>
      <c r="D11" s="242" t="str">
        <f t="shared" si="1"/>
        <v>97.5% CI</v>
      </c>
      <c r="E11" s="242" t="str">
        <f t="shared" si="1"/>
        <v xml:space="preserve">SE </v>
      </c>
      <c r="F11" s="242" t="str">
        <f t="shared" si="1"/>
        <v>t</v>
      </c>
      <c r="G11" s="242" t="str">
        <f t="shared" si="1"/>
        <v>df</v>
      </c>
      <c r="H11" s="241" t="str">
        <f t="shared" si="1"/>
        <v>p. val.</v>
      </c>
      <c r="I11" s="241" t="str">
        <f t="shared" si="1"/>
        <v>p.adj</v>
      </c>
      <c r="J11" s="244" t="str">
        <f t="shared" si="1"/>
        <v>sig.</v>
      </c>
      <c r="K11" s="320" t="s">
        <v>105</v>
      </c>
    </row>
    <row r="12" spans="1:11" ht="14.4" thickTop="1" thickBot="1" x14ac:dyDescent="0.3">
      <c r="A12" s="237" t="s">
        <v>58</v>
      </c>
      <c r="B12" s="240">
        <f>[9]Mode_l_f0_b1!C4</f>
        <v>2.4830000000000001</v>
      </c>
      <c r="C12" s="240">
        <f>[9]Mode_l_f0_b1!D4</f>
        <v>2.1459478628906798</v>
      </c>
      <c r="D12" s="240">
        <f>[9]Mode_l_f0_b1!E4</f>
        <v>2.8194909812434901</v>
      </c>
      <c r="E12" s="235">
        <f>[9]Mode_l_f0_b1!F4</f>
        <v>0.17100000000000001</v>
      </c>
      <c r="F12" s="235">
        <f>[9]Mode_l_f0_b1!G4</f>
        <v>14.478</v>
      </c>
      <c r="G12" s="235">
        <f>[9]Mode_l_f0_b1!H4</f>
        <v>612.80999999999995</v>
      </c>
      <c r="H12" s="234">
        <f>[9]Mode_l_f0_b1!I4</f>
        <v>4.5000000000000001E-41</v>
      </c>
      <c r="I12" s="233">
        <f>[9]Mode_l_f0_b1!J4</f>
        <v>1.9000000000000001E-39</v>
      </c>
      <c r="J12" s="232" t="str">
        <f>[9]Mode_l_f0_b1!K4</f>
        <v>p&lt;0.0001</v>
      </c>
      <c r="K12" s="321">
        <f>B12-C12</f>
        <v>0.33705213710932025</v>
      </c>
    </row>
    <row r="13" spans="1:11" ht="13.8" thickBot="1" x14ac:dyDescent="0.3">
      <c r="A13" s="237" t="s">
        <v>59</v>
      </c>
      <c r="B13" s="239">
        <f>[10]Mode_h_f0_b1!C4</f>
        <v>4.5129999999999999</v>
      </c>
      <c r="C13" s="239">
        <f>[10]Mode_h_f0_b1!D4</f>
        <v>4.0445700089698402</v>
      </c>
      <c r="D13" s="239">
        <f>[10]Mode_h_f0_b1!E4</f>
        <v>4.9805125669845403</v>
      </c>
      <c r="E13" s="238">
        <f>[10]Mode_h_f0_b1!F4</f>
        <v>0.23799999999999999</v>
      </c>
      <c r="F13" s="238">
        <f>[10]Mode_h_f0_b1!G4</f>
        <v>18.937000000000001</v>
      </c>
      <c r="G13" s="238">
        <f>[10]Mode_h_f0_b1!H4</f>
        <v>617.96</v>
      </c>
      <c r="H13" s="234">
        <f>[10]Mode_h_f0_b1!I4</f>
        <v>2.0999999999999999E-63</v>
      </c>
      <c r="I13" s="233">
        <f>[10]Mode_h_f0_b1!J4</f>
        <v>2.6999999999999999E-61</v>
      </c>
      <c r="J13" s="232" t="str">
        <f>[10]Mode_h_f0_b1!K4</f>
        <v>p&lt;0.0001</v>
      </c>
      <c r="K13" s="321">
        <f>B13-C13</f>
        <v>0.4684299910301597</v>
      </c>
    </row>
    <row r="14" spans="1:11" ht="13.8" thickBot="1" x14ac:dyDescent="0.3">
      <c r="A14" s="237" t="s">
        <v>62</v>
      </c>
      <c r="B14" s="236">
        <f>[11]Mode_l_t_b1!C4</f>
        <v>-21.047999999999998</v>
      </c>
      <c r="C14" s="236">
        <f>[11]Mode_l_t_b1!D4</f>
        <v>-25.261320323500598</v>
      </c>
      <c r="D14" s="236">
        <f>[11]Mode_l_t_b1!E4</f>
        <v>-16.835440861919501</v>
      </c>
      <c r="E14" s="235">
        <f>[11]Mode_l_t_b1!F4</f>
        <v>2.145</v>
      </c>
      <c r="F14" s="235">
        <f>[11]Mode_l_t_b1!G4</f>
        <v>-9.8119999999999994</v>
      </c>
      <c r="G14" s="235">
        <f>[11]Mode_l_t_b1!H4</f>
        <v>597.23</v>
      </c>
      <c r="H14" s="234">
        <f>[11]Mode_l_t_b1!I4</f>
        <v>3.5999999999999999E-21</v>
      </c>
      <c r="I14" s="233">
        <f>[11]Mode_l_t_b1!J4</f>
        <v>3.7999999999999998E-20</v>
      </c>
      <c r="J14" s="232" t="str">
        <f>[11]Mode_l_t_b1!K4</f>
        <v>p&lt;0.0001</v>
      </c>
      <c r="K14" s="321">
        <f>B14-C14</f>
        <v>4.2133203235006</v>
      </c>
    </row>
    <row r="15" spans="1:11" ht="13.8" thickBot="1" x14ac:dyDescent="0.3">
      <c r="A15" s="237" t="s">
        <v>63</v>
      </c>
      <c r="B15" s="236">
        <f>[12]Mode_h_t_b1!C4</f>
        <v>-16.834</v>
      </c>
      <c r="C15" s="236">
        <f>[12]Mode_h_t_b1!D4</f>
        <v>-23.078068753224699</v>
      </c>
      <c r="D15" s="236">
        <f>[12]Mode_h_t_b1!E4</f>
        <v>-10.5904726214682</v>
      </c>
      <c r="E15" s="235">
        <f>[12]Mode_h_t_b1!F4</f>
        <v>3.1789999999999998</v>
      </c>
      <c r="F15" s="235">
        <f>[12]Mode_h_t_b1!G4</f>
        <v>-5.2949999999999999</v>
      </c>
      <c r="G15" s="235">
        <f>[12]Mode_h_t_b1!H4</f>
        <v>614.88</v>
      </c>
      <c r="H15" s="234">
        <f>[12]Mode_h_t_b1!I4</f>
        <v>1.6999999999999999E-7</v>
      </c>
      <c r="I15" s="233">
        <f>[12]Mode_h_t_b1!J4</f>
        <v>5.9999999999999997E-7</v>
      </c>
      <c r="J15" s="232" t="str">
        <f>[12]Mode_h_t_b1!K4</f>
        <v>p&lt;0.0001</v>
      </c>
      <c r="K15" s="321">
        <f>B15-C15</f>
        <v>6.244068753224699</v>
      </c>
    </row>
    <row r="16" spans="1:11" ht="14.4" thickTop="1" thickBot="1" x14ac:dyDescent="0.3">
      <c r="A16" s="243" t="s">
        <v>74</v>
      </c>
      <c r="B16" s="242" t="str">
        <f t="shared" ref="B16:J16" si="2">B1</f>
        <v>β1</v>
      </c>
      <c r="C16" s="242" t="str">
        <f t="shared" si="2"/>
        <v>2.5% CI</v>
      </c>
      <c r="D16" s="242" t="str">
        <f t="shared" si="2"/>
        <v>97.5% CI</v>
      </c>
      <c r="E16" s="242" t="str">
        <f t="shared" si="2"/>
        <v xml:space="preserve">SE </v>
      </c>
      <c r="F16" s="242" t="str">
        <f t="shared" si="2"/>
        <v>t</v>
      </c>
      <c r="G16" s="242" t="str">
        <f t="shared" si="2"/>
        <v>df</v>
      </c>
      <c r="H16" s="241" t="str">
        <f t="shared" si="2"/>
        <v>p. val.</v>
      </c>
      <c r="I16" s="241" t="str">
        <f t="shared" si="2"/>
        <v>p.adj</v>
      </c>
      <c r="J16" s="244" t="str">
        <f t="shared" si="2"/>
        <v>sig.</v>
      </c>
      <c r="K16" s="320" t="s">
        <v>105</v>
      </c>
    </row>
    <row r="17" spans="1:11" ht="14.4" thickTop="1" thickBot="1" x14ac:dyDescent="0.3">
      <c r="A17" s="237" t="s">
        <v>58</v>
      </c>
      <c r="B17" s="240">
        <f>[9]Mode_l_f0_b1!C5</f>
        <v>1.4970000000000001</v>
      </c>
      <c r="C17" s="240">
        <f>[9]Mode_l_f0_b1!D5</f>
        <v>1.1854525270521099</v>
      </c>
      <c r="D17" s="240">
        <f>[9]Mode_l_f0_b1!E5</f>
        <v>1.80867682923135</v>
      </c>
      <c r="E17" s="235">
        <f>[9]Mode_l_f0_b1!F5</f>
        <v>0.159</v>
      </c>
      <c r="F17" s="235">
        <f>[9]Mode_l_f0_b1!G5</f>
        <v>9.4350000000000005</v>
      </c>
      <c r="G17" s="235">
        <f>[9]Mode_l_f0_b1!H5</f>
        <v>611.16</v>
      </c>
      <c r="H17" s="234">
        <f>[9]Mode_l_f0_b1!I5</f>
        <v>8.1000000000000005E-20</v>
      </c>
      <c r="I17" s="233">
        <f>[9]Mode_l_f0_b1!J5</f>
        <v>7.2999999999999997E-19</v>
      </c>
      <c r="J17" s="232" t="str">
        <f>[9]Mode_l_f0_b1!K5</f>
        <v>p&lt;0.0001</v>
      </c>
      <c r="K17" s="321">
        <f>B17-C17</f>
        <v>0.3115474729478902</v>
      </c>
    </row>
    <row r="18" spans="1:11" ht="13.8" thickBot="1" x14ac:dyDescent="0.3">
      <c r="A18" s="237" t="s">
        <v>59</v>
      </c>
      <c r="B18" s="239">
        <f>[10]Mode_h_f0_b1!C5</f>
        <v>1.3129999999999999</v>
      </c>
      <c r="C18" s="239">
        <f>[10]Mode_h_f0_b1!D5</f>
        <v>0.87631793303014605</v>
      </c>
      <c r="D18" s="239">
        <f>[10]Mode_h_f0_b1!E5</f>
        <v>1.74901516185067</v>
      </c>
      <c r="E18" s="238">
        <f>[10]Mode_h_f0_b1!F5</f>
        <v>0.222</v>
      </c>
      <c r="F18" s="238">
        <f>[10]Mode_h_f0_b1!G5</f>
        <v>5.9080000000000004</v>
      </c>
      <c r="G18" s="238">
        <f>[10]Mode_h_f0_b1!H5</f>
        <v>616.16999999999996</v>
      </c>
      <c r="H18" s="234">
        <f>[10]Mode_h_f0_b1!I5</f>
        <v>5.6999999999999998E-9</v>
      </c>
      <c r="I18" s="233">
        <f>[10]Mode_h_f0_b1!J5</f>
        <v>2.0999999999999999E-8</v>
      </c>
      <c r="J18" s="232" t="str">
        <f>[10]Mode_h_f0_b1!K5</f>
        <v>p&lt;0.0001</v>
      </c>
      <c r="K18" s="321">
        <f>B18-C18</f>
        <v>0.4366820669698539</v>
      </c>
    </row>
    <row r="19" spans="1:11" ht="13.8" thickBot="1" x14ac:dyDescent="0.3">
      <c r="A19" s="237" t="s">
        <v>62</v>
      </c>
      <c r="B19" s="236">
        <f>[11]Mode_l_t_b1!C5</f>
        <v>-2.6989999999999998</v>
      </c>
      <c r="C19" s="236">
        <f>[11]Mode_l_t_b1!D5</f>
        <v>-6.6517684461969697</v>
      </c>
      <c r="D19" s="236">
        <f>[11]Mode_l_t_b1!E5</f>
        <v>1.25375413125451</v>
      </c>
      <c r="E19" s="235">
        <f>[11]Mode_l_t_b1!F5</f>
        <v>2.0129999999999999</v>
      </c>
      <c r="F19" s="235">
        <f>[11]Mode_l_t_b1!G5</f>
        <v>-1.341</v>
      </c>
      <c r="G19" s="235">
        <f>[11]Mode_l_t_b1!H5</f>
        <v>611.91</v>
      </c>
      <c r="H19" s="234">
        <f>[11]Mode_l_t_b1!I5</f>
        <v>0.18</v>
      </c>
      <c r="I19" s="245">
        <f>[11]Mode_l_t_b1!J5</f>
        <v>0.23300000000000001</v>
      </c>
      <c r="J19" s="232">
        <f>[11]Mode_l_t_b1!K5</f>
        <v>0</v>
      </c>
      <c r="K19" s="321">
        <f>B19-C19</f>
        <v>3.9527684461969699</v>
      </c>
    </row>
    <row r="20" spans="1:11" ht="13.8" thickBot="1" x14ac:dyDescent="0.3">
      <c r="A20" s="237" t="s">
        <v>63</v>
      </c>
      <c r="B20" s="236">
        <f>[12]Mode_h_t_b1!C5</f>
        <v>-2.105</v>
      </c>
      <c r="C20" s="236">
        <f>[12]Mode_h_t_b1!D5</f>
        <v>-7.9337797320526899</v>
      </c>
      <c r="D20" s="236">
        <f>[12]Mode_h_t_b1!E5</f>
        <v>3.7238005439951198</v>
      </c>
      <c r="E20" s="235">
        <f>[12]Mode_h_t_b1!F5</f>
        <v>2.968</v>
      </c>
      <c r="F20" s="235">
        <f>[12]Mode_h_t_b1!G5</f>
        <v>-0.70899999999999996</v>
      </c>
      <c r="G20" s="235">
        <f>[12]Mode_h_t_b1!H5</f>
        <v>613.21</v>
      </c>
      <c r="H20" s="234">
        <f>[12]Mode_h_t_b1!I5</f>
        <v>0.47799999999999998</v>
      </c>
      <c r="I20" s="233">
        <f>[12]Mode_h_t_b1!J5</f>
        <v>0.56200000000000006</v>
      </c>
      <c r="J20" s="232">
        <f>[12]Mode_h_t_b1!K5</f>
        <v>0</v>
      </c>
      <c r="K20" s="321">
        <f>B20-C20</f>
        <v>5.8287797320526895</v>
      </c>
    </row>
    <row r="21" spans="1:11" ht="14.4" thickTop="1" thickBot="1" x14ac:dyDescent="0.3">
      <c r="A21" s="243" t="s">
        <v>75</v>
      </c>
      <c r="B21" s="242" t="str">
        <f t="shared" ref="B21:J21" si="3">B1</f>
        <v>β1</v>
      </c>
      <c r="C21" s="242" t="str">
        <f t="shared" si="3"/>
        <v>2.5% CI</v>
      </c>
      <c r="D21" s="242" t="str">
        <f t="shared" si="3"/>
        <v>97.5% CI</v>
      </c>
      <c r="E21" s="242" t="str">
        <f t="shared" si="3"/>
        <v xml:space="preserve">SE </v>
      </c>
      <c r="F21" s="242" t="str">
        <f t="shared" si="3"/>
        <v>t</v>
      </c>
      <c r="G21" s="242" t="str">
        <f t="shared" si="3"/>
        <v>df</v>
      </c>
      <c r="H21" s="241" t="str">
        <f t="shared" si="3"/>
        <v>p. val.</v>
      </c>
      <c r="I21" s="241" t="str">
        <f t="shared" si="3"/>
        <v>p.adj</v>
      </c>
      <c r="J21" s="244" t="str">
        <f t="shared" si="3"/>
        <v>sig.</v>
      </c>
      <c r="K21" s="320" t="s">
        <v>105</v>
      </c>
    </row>
    <row r="22" spans="1:11" ht="14.4" thickTop="1" thickBot="1" x14ac:dyDescent="0.3">
      <c r="A22" s="237" t="s">
        <v>58</v>
      </c>
      <c r="B22" s="240">
        <f>[9]Mode_l_f0_b1!C6</f>
        <v>2.3580000000000001</v>
      </c>
      <c r="C22" s="240">
        <f>[9]Mode_l_f0_b1!D6</f>
        <v>2.0209588077641998</v>
      </c>
      <c r="D22" s="240">
        <f>[9]Mode_l_f0_b1!E6</f>
        <v>2.6957606420667402</v>
      </c>
      <c r="E22" s="235">
        <f>[9]Mode_l_f0_b1!F6</f>
        <v>0.17199999999999999</v>
      </c>
      <c r="F22" s="235">
        <f>[9]Mode_l_f0_b1!G6</f>
        <v>13.727</v>
      </c>
      <c r="G22" s="235">
        <f>[9]Mode_l_f0_b1!H6</f>
        <v>612.86</v>
      </c>
      <c r="H22" s="234">
        <f>[9]Mode_l_f0_b1!I6</f>
        <v>1.4000000000000001E-37</v>
      </c>
      <c r="I22" s="233">
        <f>[9]Mode_l_f0_b1!J6</f>
        <v>4.3999999999999999E-36</v>
      </c>
      <c r="J22" s="232" t="str">
        <f>[9]Mode_l_f0_b1!K6</f>
        <v>p&lt;0.0001</v>
      </c>
      <c r="K22" s="321">
        <f>B22-C22</f>
        <v>0.33704119223580031</v>
      </c>
    </row>
    <row r="23" spans="1:11" ht="13.8" thickBot="1" x14ac:dyDescent="0.3">
      <c r="A23" s="237" t="s">
        <v>59</v>
      </c>
      <c r="B23" s="239">
        <f>[10]Mode_h_f0_b1!C6</f>
        <v>4.1059999999999999</v>
      </c>
      <c r="C23" s="239">
        <f>[10]Mode_h_f0_b1!D6</f>
        <v>3.6374300581047301</v>
      </c>
      <c r="D23" s="239">
        <f>[10]Mode_h_f0_b1!E6</f>
        <v>4.5750165191850796</v>
      </c>
      <c r="E23" s="238">
        <f>[10]Mode_h_f0_b1!F6</f>
        <v>0.23899999999999999</v>
      </c>
      <c r="F23" s="238">
        <f>[10]Mode_h_f0_b1!G6</f>
        <v>17.201000000000001</v>
      </c>
      <c r="G23" s="238">
        <f>[10]Mode_h_f0_b1!H6</f>
        <v>618.02</v>
      </c>
      <c r="H23" s="234">
        <f>[10]Mode_h_f0_b1!I6</f>
        <v>1.7999999999999999E-54</v>
      </c>
      <c r="I23" s="233">
        <f>[10]Mode_h_f0_b1!J6</f>
        <v>1.1E-52</v>
      </c>
      <c r="J23" s="232" t="str">
        <f>[10]Mode_h_f0_b1!K6</f>
        <v>p&lt;0.0001</v>
      </c>
      <c r="K23" s="321">
        <f>B23-C23</f>
        <v>0.46856994189526979</v>
      </c>
    </row>
    <row r="24" spans="1:11" ht="13.8" thickBot="1" x14ac:dyDescent="0.3">
      <c r="A24" s="237" t="s">
        <v>62</v>
      </c>
      <c r="B24" s="236">
        <f>[11]Mode_l_t_b1!C6</f>
        <v>-21.452000000000002</v>
      </c>
      <c r="C24" s="236">
        <f>[11]Mode_l_t_b1!D6</f>
        <v>-25.665332374712499</v>
      </c>
      <c r="D24" s="236">
        <f>[11]Mode_l_t_b1!E6</f>
        <v>-17.238892292556901</v>
      </c>
      <c r="E24" s="235">
        <f>[11]Mode_l_t_b1!F6</f>
        <v>2.145</v>
      </c>
      <c r="F24" s="235">
        <f>[11]Mode_l_t_b1!G6</f>
        <v>-10</v>
      </c>
      <c r="G24" s="235">
        <f>[11]Mode_l_t_b1!H6</f>
        <v>595.95000000000005</v>
      </c>
      <c r="H24" s="234">
        <f>[11]Mode_l_t_b1!I6</f>
        <v>7.1999999999999996E-22</v>
      </c>
      <c r="I24" s="233">
        <f>[11]Mode_l_t_b1!J6</f>
        <v>8.3000000000000002E-21</v>
      </c>
      <c r="J24" s="232" t="str">
        <f>[11]Mode_l_t_b1!K6</f>
        <v>p&lt;0.0001</v>
      </c>
      <c r="K24" s="321">
        <f>B24-C24</f>
        <v>4.2133323747124969</v>
      </c>
    </row>
    <row r="25" spans="1:11" ht="13.8" thickBot="1" x14ac:dyDescent="0.3">
      <c r="A25" s="237" t="s">
        <v>63</v>
      </c>
      <c r="B25" s="236">
        <f>[12]Mode_h_t_b1!C6</f>
        <v>-16.462</v>
      </c>
      <c r="C25" s="236">
        <f>[12]Mode_h_t_b1!D6</f>
        <v>-22.716913416964701</v>
      </c>
      <c r="D25" s="236">
        <f>[12]Mode_h_t_b1!E6</f>
        <v>-10.206576965677501</v>
      </c>
      <c r="E25" s="235">
        <f>[12]Mode_h_t_b1!F6</f>
        <v>3.1850000000000001</v>
      </c>
      <c r="F25" s="235">
        <f>[12]Mode_h_t_b1!G6</f>
        <v>-5.1680000000000001</v>
      </c>
      <c r="G25" s="235">
        <f>[12]Mode_h_t_b1!H6</f>
        <v>615</v>
      </c>
      <c r="H25" s="234">
        <f>[12]Mode_h_t_b1!I6</f>
        <v>3.2000000000000001E-7</v>
      </c>
      <c r="I25" s="233">
        <f>[12]Mode_h_t_b1!J6</f>
        <v>1.1000000000000001E-6</v>
      </c>
      <c r="J25" s="232" t="str">
        <f>[12]Mode_h_t_b1!K6</f>
        <v>p&lt;0.0001</v>
      </c>
      <c r="K25" s="321">
        <f>B25-C25</f>
        <v>6.2549134169647012</v>
      </c>
    </row>
    <row r="26" spans="1:11" ht="14.4" thickTop="1" thickBot="1" x14ac:dyDescent="0.3">
      <c r="A26" s="243" t="s">
        <v>104</v>
      </c>
      <c r="B26" s="242" t="str">
        <f t="shared" ref="B26:I26" si="4">B1</f>
        <v>β1</v>
      </c>
      <c r="C26" s="242" t="str">
        <f t="shared" si="4"/>
        <v>2.5% CI</v>
      </c>
      <c r="D26" s="242" t="str">
        <f t="shared" si="4"/>
        <v>97.5% CI</v>
      </c>
      <c r="E26" s="242" t="str">
        <f t="shared" si="4"/>
        <v xml:space="preserve">SE </v>
      </c>
      <c r="F26" s="242" t="str">
        <f t="shared" si="4"/>
        <v>t</v>
      </c>
      <c r="G26" s="242" t="str">
        <f t="shared" si="4"/>
        <v>df</v>
      </c>
      <c r="H26" s="241" t="str">
        <f t="shared" si="4"/>
        <v>p. val.</v>
      </c>
      <c r="I26" s="241" t="str">
        <f t="shared" si="4"/>
        <v>p.adj</v>
      </c>
      <c r="J26" s="241" t="str">
        <f>J6</f>
        <v>sig.</v>
      </c>
      <c r="K26" s="320" t="s">
        <v>105</v>
      </c>
    </row>
    <row r="27" spans="1:11" ht="14.4" thickTop="1" thickBot="1" x14ac:dyDescent="0.3">
      <c r="A27" s="237" t="s">
        <v>58</v>
      </c>
      <c r="B27" s="240">
        <f>[9]Mode_l_f0_b1!C7</f>
        <v>0.86099999999999999</v>
      </c>
      <c r="C27" s="240">
        <f>[9]Mode_l_f0_b1!D7</f>
        <v>0.53228450758934498</v>
      </c>
      <c r="D27" s="240">
        <f>[9]Mode_l_f0_b1!E7</f>
        <v>1.19030558605054</v>
      </c>
      <c r="E27" s="235">
        <f>[9]Mode_l_f0_b1!F7</f>
        <v>0.16800000000000001</v>
      </c>
      <c r="F27" s="235">
        <f>[9]Mode_l_f0_b1!G7</f>
        <v>5.141</v>
      </c>
      <c r="G27" s="235">
        <f>[9]Mode_l_f0_b1!H7</f>
        <v>612.36</v>
      </c>
      <c r="H27" s="234">
        <f>[9]Mode_l_f0_b1!I7</f>
        <v>3.7E-7</v>
      </c>
      <c r="I27" s="233">
        <f>[9]Mode_l_f0_b1!J7</f>
        <v>1.1999999999999999E-6</v>
      </c>
      <c r="J27" s="232" t="str">
        <f>[9]Mode_l_f0_b1!K7</f>
        <v>p&lt;0.0001</v>
      </c>
      <c r="K27" s="321">
        <f>B27-C27</f>
        <v>0.32871549241065501</v>
      </c>
    </row>
    <row r="28" spans="1:11" ht="13.8" thickBot="1" x14ac:dyDescent="0.3">
      <c r="A28" s="237" t="s">
        <v>59</v>
      </c>
      <c r="B28" s="239">
        <f>[10]Mode_h_f0_b1!C7</f>
        <v>2.794</v>
      </c>
      <c r="C28" s="239">
        <f>[10]Mode_h_f0_b1!D7</f>
        <v>2.3362844730857</v>
      </c>
      <c r="D28" s="239">
        <f>[10]Mode_h_f0_b1!E7</f>
        <v>3.25082900924733</v>
      </c>
      <c r="E28" s="238">
        <f>[10]Mode_h_f0_b1!F7</f>
        <v>0.23300000000000001</v>
      </c>
      <c r="F28" s="238">
        <f>[10]Mode_h_f0_b1!G7</f>
        <v>11.997</v>
      </c>
      <c r="G28" s="238">
        <f>[10]Mode_h_f0_b1!H7</f>
        <v>617.52</v>
      </c>
      <c r="H28" s="234">
        <f>[10]Mode_h_f0_b1!I7</f>
        <v>5.8999999999999998E-30</v>
      </c>
      <c r="I28" s="233">
        <f>[10]Mode_h_f0_b1!J7</f>
        <v>1.2000000000000001E-28</v>
      </c>
      <c r="J28" s="232" t="str">
        <f>[10]Mode_h_f0_b1!K7</f>
        <v>p&lt;0.0001</v>
      </c>
      <c r="K28" s="321">
        <f>B28-C28</f>
        <v>0.45771552691430006</v>
      </c>
    </row>
    <row r="29" spans="1:11" ht="13.8" thickBot="1" x14ac:dyDescent="0.3">
      <c r="A29" s="237" t="s">
        <v>62</v>
      </c>
      <c r="B29" s="236">
        <f>[11]Mode_l_t_b1!C7</f>
        <v>-18.753</v>
      </c>
      <c r="C29" s="236">
        <f>[11]Mode_l_t_b1!D7</f>
        <v>-22.880955572601501</v>
      </c>
      <c r="D29" s="236">
        <f>[11]Mode_l_t_b1!E7</f>
        <v>-14.6252548065235</v>
      </c>
      <c r="E29" s="235">
        <f>[11]Mode_l_t_b1!F7</f>
        <v>2.1019999999999999</v>
      </c>
      <c r="F29" s="235">
        <f>[11]Mode_l_t_b1!G7</f>
        <v>-8.9220000000000006</v>
      </c>
      <c r="G29" s="235">
        <f>[11]Mode_l_t_b1!H7</f>
        <v>609.03</v>
      </c>
      <c r="H29" s="234">
        <f>[11]Mode_l_t_b1!I7</f>
        <v>5.3000000000000003E-18</v>
      </c>
      <c r="I29" s="233">
        <f>[11]Mode_l_t_b1!J7</f>
        <v>4.4999999999999998E-17</v>
      </c>
      <c r="J29" s="232" t="str">
        <f>[11]Mode_l_t_b1!K7</f>
        <v>p&lt;0.0001</v>
      </c>
      <c r="K29" s="321">
        <f>B29-C29</f>
        <v>4.1279555726015005</v>
      </c>
    </row>
    <row r="30" spans="1:11" ht="13.8" thickBot="1" x14ac:dyDescent="0.3">
      <c r="A30" s="237" t="s">
        <v>63</v>
      </c>
      <c r="B30" s="236">
        <f>[12]Mode_h_t_b1!C7</f>
        <v>-14.356999999999999</v>
      </c>
      <c r="C30" s="236">
        <f>[12]Mode_h_t_b1!D7</f>
        <v>-20.468165663037698</v>
      </c>
      <c r="D30" s="236">
        <f>[12]Mode_h_t_b1!E7</f>
        <v>-8.2453455316897895</v>
      </c>
      <c r="E30" s="235">
        <f>[12]Mode_h_t_b1!F7</f>
        <v>3.1120000000000001</v>
      </c>
      <c r="F30" s="235">
        <f>[12]Mode_h_t_b1!G7</f>
        <v>-4.6130000000000004</v>
      </c>
      <c r="G30" s="235">
        <f>[12]Mode_h_t_b1!H7</f>
        <v>614.38</v>
      </c>
      <c r="H30" s="234">
        <f>[12]Mode_h_t_b1!I7</f>
        <v>4.7999999999999998E-6</v>
      </c>
      <c r="I30" s="233">
        <f>[12]Mode_h_t_b1!J7</f>
        <v>1.4E-5</v>
      </c>
      <c r="J30" s="232" t="str">
        <f>[12]Mode_h_t_b1!K7</f>
        <v>p&lt;0.0001</v>
      </c>
      <c r="K30" s="321">
        <f>B30-C30</f>
        <v>6.1111656630376991</v>
      </c>
    </row>
  </sheetData>
  <conditionalFormatting sqref="H7:I10 H12:I15 H2:I5 H17:I20 H22:I25 H27:I30">
    <cfRule type="cellIs" dxfId="252" priority="10" stopIfTrue="1" operator="lessThan">
      <formula>0.0001</formula>
    </cfRule>
    <cfRule type="cellIs" dxfId="251" priority="11" stopIfTrue="1" operator="lessThan">
      <formula>0.001</formula>
    </cfRule>
    <cfRule type="cellIs" dxfId="250" priority="12" stopIfTrue="1" operator="lessThan">
      <formula>0.05</formula>
    </cfRule>
    <cfRule type="cellIs" dxfId="249" priority="13" stopIfTrue="1" operator="lessThan">
      <formula>0.1</formula>
    </cfRule>
  </conditionalFormatting>
  <conditionalFormatting sqref="J7:J10 J12:J15 J2:J5 J17:J20 J22:J25 J27:J30">
    <cfRule type="containsText" dxfId="248" priority="5" stopIfTrue="1" operator="containsText" text="p&lt;0.0001">
      <formula>NOT(ISERROR(SEARCH("p&lt;0.0001",J2)))</formula>
    </cfRule>
    <cfRule type="containsText" dxfId="247" priority="6" stopIfTrue="1" operator="containsText" text="p&lt;0.001">
      <formula>NOT(ISERROR(SEARCH("p&lt;0.001",J2)))</formula>
    </cfRule>
    <cfRule type="containsText" dxfId="246" priority="7" stopIfTrue="1" operator="containsText" text="p&lt;0.01">
      <formula>NOT(ISERROR(SEARCH("p&lt;0.01",J2)))</formula>
    </cfRule>
    <cfRule type="containsText" dxfId="245" priority="8" stopIfTrue="1" operator="containsText" text="p&lt;0.05">
      <formula>NOT(ISERROR(SEARCH("p&lt;0.05",J2)))</formula>
    </cfRule>
    <cfRule type="containsText" dxfId="244" priority="9" stopIfTrue="1" operator="containsText" text="p&lt;0.1">
      <formula>NOT(ISERROR(SEARCH("p&lt;0.1",J2)))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AA109"/>
  <sheetViews>
    <sheetView showGridLines="0" topLeftCell="A5" zoomScaleNormal="100" zoomScaleSheetLayoutView="47" workbookViewId="0">
      <selection activeCell="A5" sqref="A5"/>
    </sheetView>
  </sheetViews>
  <sheetFormatPr defaultColWidth="13.88671875" defaultRowHeight="13.2" x14ac:dyDescent="0.25"/>
  <cols>
    <col min="1" max="1" width="10.6640625" style="93" bestFit="1" customWidth="1"/>
    <col min="2" max="3" width="7.6640625" style="166" customWidth="1"/>
    <col min="4" max="5" width="11.44140625" style="166" customWidth="1"/>
    <col min="6" max="7" width="8.6640625" style="166" customWidth="1"/>
    <col min="8" max="8" width="11.44140625" style="166" hidden="1" customWidth="1"/>
    <col min="9" max="9" width="11.109375" style="167" customWidth="1"/>
    <col min="10" max="10" width="11.44140625" style="167" customWidth="1"/>
    <col min="11" max="12" width="6.77734375" style="168" customWidth="1"/>
    <col min="13" max="13" width="8.6640625" style="168" customWidth="1"/>
    <col min="14" max="14" width="11.44140625" style="168" customWidth="1"/>
    <col min="15" max="15" width="11.109375" style="169" customWidth="1"/>
    <col min="16" max="16" width="11.44140625" style="169" customWidth="1"/>
    <col min="17" max="18" width="7.6640625" style="168" customWidth="1"/>
    <col min="19" max="20" width="11.44140625" style="168" customWidth="1"/>
    <col min="21" max="21" width="8.6640625" style="168" customWidth="1"/>
    <col min="22" max="23" width="11.44140625" style="168" customWidth="1"/>
    <col min="24" max="24" width="11.109375" style="169" customWidth="1"/>
    <col min="25" max="25" width="11.44140625" style="169" customWidth="1"/>
    <col min="26" max="27" width="11.44140625" style="168" customWidth="1"/>
    <col min="28" max="16384" width="13.88671875" style="170"/>
  </cols>
  <sheetData>
    <row r="1" spans="1:12" ht="16.8" thickTop="1" thickBot="1" x14ac:dyDescent="0.3">
      <c r="A1" s="171" t="s">
        <v>18</v>
      </c>
      <c r="B1" s="171" t="s">
        <v>70</v>
      </c>
      <c r="C1" s="171" t="s">
        <v>10</v>
      </c>
      <c r="D1" s="171" t="s">
        <v>81</v>
      </c>
      <c r="E1" s="171" t="str">
        <f>[13]Mode_PA_l_f0_b0!E1</f>
        <v>std.error</v>
      </c>
      <c r="F1" s="171" t="s">
        <v>8</v>
      </c>
      <c r="G1" s="171" t="s">
        <v>12</v>
      </c>
      <c r="H1" s="172" t="s">
        <v>22</v>
      </c>
      <c r="I1" s="172" t="s">
        <v>67</v>
      </c>
      <c r="J1" s="172" t="s">
        <v>27</v>
      </c>
      <c r="K1" s="171" t="s">
        <v>68</v>
      </c>
      <c r="L1" s="171" t="s">
        <v>69</v>
      </c>
    </row>
    <row r="2" spans="1:12" ht="13.8" thickTop="1" x14ac:dyDescent="0.25">
      <c r="A2" s="173" t="s">
        <v>58</v>
      </c>
      <c r="B2" s="173">
        <f>[13]Mode_PA_l_f0_b0!B2</f>
        <v>83.99</v>
      </c>
      <c r="C2" s="174">
        <f>[13]Mode_PA_l_f0_b0!C2</f>
        <v>80.453351074980304</v>
      </c>
      <c r="D2" s="174">
        <f>[13]Mode_PA_l_f0_b0!D2</f>
        <v>87.527230630068203</v>
      </c>
      <c r="E2" s="174">
        <f>[13]Mode_PA_l_f0_b0!E2</f>
        <v>1.623</v>
      </c>
      <c r="F2" s="174">
        <f>[13]Mode_PA_l_f0_b0!F2</f>
        <v>51.753</v>
      </c>
      <c r="G2" s="174">
        <f>[13]Mode_PA_l_f0_b0!G2</f>
        <v>11.97</v>
      </c>
      <c r="H2" s="175">
        <f>[13]Mode_PA_l_f0_b0!H2</f>
        <v>1.9000000000000001E-15</v>
      </c>
      <c r="I2" s="176">
        <f>[13]Mode_PA_l_f0_b0!I2</f>
        <v>7.6000000000000004E-15</v>
      </c>
      <c r="J2" s="177" t="str">
        <f>[13]Mode_PA_l_f0_b0!J2</f>
        <v>p&lt;0.0001</v>
      </c>
      <c r="K2" s="174">
        <f>[14]Mode_PA_l_f0_r2!B3</f>
        <v>5.6672945964226902E-2</v>
      </c>
      <c r="L2" s="174">
        <f>[14]Mode_PA_l_f0_r2!B2</f>
        <v>0.95092595995270601</v>
      </c>
    </row>
    <row r="3" spans="1:12" x14ac:dyDescent="0.25">
      <c r="A3" s="178" t="s">
        <v>59</v>
      </c>
      <c r="B3" s="178">
        <f>[15]Mode_PA_h_f0_b0!B2</f>
        <v>90.16</v>
      </c>
      <c r="C3" s="179">
        <f>[15]Mode_PA_h_f0_b0!C2</f>
        <v>86.123043762318801</v>
      </c>
      <c r="D3" s="179">
        <f>[15]Mode_PA_h_f0_b0!D2</f>
        <v>94.197953690226399</v>
      </c>
      <c r="E3" s="179">
        <f>[15]Mode_PA_h_f0_b0!E2</f>
        <v>1.8029999999999999</v>
      </c>
      <c r="F3" s="179">
        <f>[15]Mode_PA_h_f0_b0!F2</f>
        <v>50.005000000000003</v>
      </c>
      <c r="G3" s="179">
        <f>[15]Mode_PA_h_f0_b0!G2</f>
        <v>9.65</v>
      </c>
      <c r="H3" s="180">
        <f>[15]Mode_PA_h_f0_b0!H2</f>
        <v>5.6000000000000004E-13</v>
      </c>
      <c r="I3" s="181">
        <f>[15]Mode_PA_h_f0_b0!I2</f>
        <v>1.4000000000000001E-12</v>
      </c>
      <c r="J3" s="182" t="str">
        <f>[15]Mode_PA_h_f0_b0!J2</f>
        <v>p&lt;0.0001</v>
      </c>
      <c r="K3" s="179">
        <f>[16]Mode_PA_h_f0_r2!B3</f>
        <v>0.11904129817262001</v>
      </c>
      <c r="L3" s="179">
        <f>[16]Mode_PA_h_f0_r2!B2</f>
        <v>0.90843440204111703</v>
      </c>
    </row>
    <row r="4" spans="1:12" x14ac:dyDescent="0.25">
      <c r="A4" s="178" t="s">
        <v>60</v>
      </c>
      <c r="B4" s="178">
        <f>[17]Mode_PA_f0_exc_b0!B2</f>
        <v>5.9409999999999998</v>
      </c>
      <c r="C4" s="178">
        <f>[17]Mode_PA_f0_exc_b0!C2</f>
        <v>4.9701290775966802</v>
      </c>
      <c r="D4" s="179">
        <f>[17]Mode_PA_f0_exc_b0!D2</f>
        <v>6.9117110854203503</v>
      </c>
      <c r="E4" s="179">
        <f>[17]Mode_PA_f0_exc_b0!E2</f>
        <v>0.434</v>
      </c>
      <c r="F4" s="179">
        <f>[17]Mode_PA_f0_exc_b0!F2</f>
        <v>13.682</v>
      </c>
      <c r="G4" s="179">
        <f>[17]Mode_PA_f0_exc_b0!G2</f>
        <v>9.75</v>
      </c>
      <c r="H4" s="180">
        <f>[17]Mode_PA_f0_exc_b0!H2</f>
        <v>1.1000000000000001E-7</v>
      </c>
      <c r="I4" s="181">
        <f>[17]Mode_PA_f0_exc_b0!I2</f>
        <v>2.1E-7</v>
      </c>
      <c r="J4" s="182" t="str">
        <f>[17]Mode_PA_f0_exc_b0!J2</f>
        <v>p&lt;0.0001</v>
      </c>
      <c r="K4" s="179">
        <f>[18]Mode_PA_lh_slope_r2!B3</f>
        <v>0.15391938089183299</v>
      </c>
      <c r="L4" s="179">
        <f>[18]Mode_PA_lh_slope_r2!B2</f>
        <v>0.70030882518417004</v>
      </c>
    </row>
    <row r="5" spans="1:12" x14ac:dyDescent="0.25">
      <c r="A5" s="178" t="s">
        <v>61</v>
      </c>
      <c r="B5" s="178">
        <f>[19]Mode_PA_lh_mean_f0_b0!B2</f>
        <v>86.733999999999995</v>
      </c>
      <c r="C5" s="178">
        <f>[19]Mode_PA_lh_mean_f0_b0!C2</f>
        <v>83.197141294763696</v>
      </c>
      <c r="D5" s="179">
        <f>[19]Mode_PA_lh_mean_f0_b0!D2</f>
        <v>90.271041269368197</v>
      </c>
      <c r="E5" s="179">
        <f>[19]Mode_PA_lh_mean_f0_b0!E2</f>
        <v>1.6220000000000001</v>
      </c>
      <c r="F5" s="179">
        <f>[19]Mode_PA_lh_mean_f0_b0!F2</f>
        <v>53.463999999999999</v>
      </c>
      <c r="G5" s="179">
        <f>[19]Mode_PA_lh_mean_f0_b0!G2</f>
        <v>11.93</v>
      </c>
      <c r="H5" s="180">
        <f>[19]Mode_PA_lh_mean_f0_b0!H2</f>
        <v>1.4000000000000001E-15</v>
      </c>
      <c r="I5" s="181">
        <f>[19]Mode_PA_lh_mean_f0_b0!I2</f>
        <v>7.0000000000000001E-15</v>
      </c>
      <c r="J5" s="182" t="str">
        <f>[19]Mode_PA_lh_mean_f0_b0!J2</f>
        <v>p&lt;0.0001</v>
      </c>
      <c r="K5" s="179">
        <f>[20]Mode_PA_lh_mean_f0_r2!$B$3</f>
        <v>8.4810456128037004E-2</v>
      </c>
      <c r="L5" s="179">
        <f>[20]Mode_PA_lh_mean_f0_r2!$B$2</f>
        <v>0.93932332827405896</v>
      </c>
    </row>
    <row r="6" spans="1:12" x14ac:dyDescent="0.25">
      <c r="A6" s="183" t="s">
        <v>62</v>
      </c>
      <c r="B6" s="183">
        <f>[21]Mode_PA_l_t_b0!B2</f>
        <v>67.408000000000001</v>
      </c>
      <c r="C6" s="178">
        <f>[21]Mode_PA_l_t_b0!C2</f>
        <v>45.906075043170702</v>
      </c>
      <c r="D6" s="178">
        <f>[21]Mode_PA_l_t_b0!D2</f>
        <v>88.909427524989596</v>
      </c>
      <c r="E6" s="178">
        <f>[21]Mode_PA_l_t_b0!E2</f>
        <v>9.8879999999999999</v>
      </c>
      <c r="F6" s="179">
        <f>[21]Mode_PA_l_t_b0!F2</f>
        <v>6.8170000000000002</v>
      </c>
      <c r="G6" s="179">
        <f>[21]Mode_PA_l_t_b0!G2</f>
        <v>12.22</v>
      </c>
      <c r="H6" s="180">
        <f>[21]Mode_PA_l_t_b0!H2</f>
        <v>1.7E-5</v>
      </c>
      <c r="I6" s="181">
        <f>[21]Mode_PA_l_t_b0!I2</f>
        <v>2.9E-5</v>
      </c>
      <c r="J6" s="182" t="str">
        <f>[21]Mode_PA_l_t_b0!J2</f>
        <v>p&lt;0.0001</v>
      </c>
      <c r="K6" s="179">
        <f>[22]Mode_PA_l_t_r2!B3</f>
        <v>7.2121393405386897E-2</v>
      </c>
      <c r="L6" s="179">
        <f>[22]Mode_PA_l_t_r2!B2</f>
        <v>0.77329835004832403</v>
      </c>
    </row>
    <row r="7" spans="1:12" x14ac:dyDescent="0.25">
      <c r="A7" s="183" t="s">
        <v>63</v>
      </c>
      <c r="B7" s="183">
        <f>[23]Mode_PA_h_t_b0!B2</f>
        <v>268.214</v>
      </c>
      <c r="C7" s="178">
        <f>[23]Mode_PA_h_t_b0!C2</f>
        <v>187.773596811201</v>
      </c>
      <c r="D7" s="178">
        <f>[23]Mode_PA_h_t_b0!D2</f>
        <v>348.65534627868499</v>
      </c>
      <c r="E7" s="178">
        <f>[23]Mode_PA_h_t_b0!E2</f>
        <v>30.707999999999998</v>
      </c>
      <c r="F7" s="179">
        <f>[23]Mode_PA_h_t_b0!F2</f>
        <v>8.734</v>
      </c>
      <c r="G7" s="179">
        <f>[23]Mode_PA_h_t_b0!G2</f>
        <v>4.71</v>
      </c>
      <c r="H7" s="184">
        <f>[23]Mode_PA_h_t_b0!H2</f>
        <v>4.4000000000000002E-4</v>
      </c>
      <c r="I7" s="184">
        <f>[23]Mode_PA_h_t_b0!I2</f>
        <v>5.5000000000000003E-4</v>
      </c>
      <c r="J7" s="182" t="str">
        <f>[23]Mode_PA_h_t_b0!J2</f>
        <v>p&lt;0.001</v>
      </c>
      <c r="K7" s="179">
        <f>[24]Mode_PA_h_t_r2!B3</f>
        <v>2.16840471179113E-2</v>
      </c>
      <c r="L7" s="179">
        <f>[24]Mode_PA_h_t_r2!B2</f>
        <v>0.85479648531734098</v>
      </c>
    </row>
    <row r="8" spans="1:12" ht="13.8" thickBot="1" x14ac:dyDescent="0.3">
      <c r="A8" s="185" t="s">
        <v>64</v>
      </c>
      <c r="B8" s="186">
        <f>[25]Mode_PA_lh_slope_b0!B2</f>
        <v>34.866999999999997</v>
      </c>
      <c r="C8" s="186">
        <f>[25]Mode_PA_lh_slope_b0!C2</f>
        <v>19.4382826262501</v>
      </c>
      <c r="D8" s="185">
        <f>[25]Mode_PA_lh_slope_b0!D2</f>
        <v>50.295027165882203</v>
      </c>
      <c r="E8" s="185">
        <f>[25]Mode_PA_lh_slope_b0!E2</f>
        <v>5.1239999999999997</v>
      </c>
      <c r="F8" s="186">
        <f>[25]Mode_PA_lh_slope_b0!F2</f>
        <v>6.8049999999999997</v>
      </c>
      <c r="G8" s="186">
        <f>[25]Mode_PA_lh_slope_b0!G2</f>
        <v>3.33</v>
      </c>
      <c r="H8" s="187">
        <f>[25]Mode_PA_lh_slope_b0!H2</f>
        <v>5.0000000000000001E-3</v>
      </c>
      <c r="I8" s="187">
        <f>[25]Mode_PA_lh_slope_b0!I2</f>
        <v>5.0000000000000001E-3</v>
      </c>
      <c r="J8" s="188" t="str">
        <f>[25]Mode_PA_lh_slope_b0!J2</f>
        <v>p&lt;0.01</v>
      </c>
      <c r="K8" s="186">
        <f>[18]Mode_PA_lh_slope_r2!B3</f>
        <v>0.15391938089183299</v>
      </c>
      <c r="L8" s="186">
        <f>[18]Mode_PA_lh_slope_r2!B2</f>
        <v>0.70030882518417004</v>
      </c>
    </row>
    <row r="9" spans="1:12" ht="16.8" thickTop="1" thickBot="1" x14ac:dyDescent="0.3">
      <c r="A9" s="171" t="s">
        <v>19</v>
      </c>
      <c r="B9" s="171" t="str">
        <f t="shared" ref="B9:J9" si="0">B1</f>
        <v>est.</v>
      </c>
      <c r="C9" s="171" t="str">
        <f t="shared" si="0"/>
        <v>2.5% CI</v>
      </c>
      <c r="D9" s="171" t="str">
        <f t="shared" si="0"/>
        <v>07.5% CI</v>
      </c>
      <c r="E9" s="171" t="str">
        <f t="shared" si="0"/>
        <v>std.error</v>
      </c>
      <c r="F9" s="171" t="str">
        <f t="shared" si="0"/>
        <v>t</v>
      </c>
      <c r="G9" s="171" t="str">
        <f t="shared" si="0"/>
        <v>df</v>
      </c>
      <c r="H9" s="171" t="str">
        <f t="shared" si="0"/>
        <v>p. val.</v>
      </c>
      <c r="I9" s="171" t="str">
        <f t="shared" si="0"/>
        <v>p.adj</v>
      </c>
      <c r="J9" s="171" t="str">
        <f t="shared" si="0"/>
        <v>sig.</v>
      </c>
      <c r="K9" s="171" t="s">
        <v>68</v>
      </c>
      <c r="L9" s="171" t="s">
        <v>69</v>
      </c>
    </row>
    <row r="10" spans="1:12" ht="13.8" thickTop="1" x14ac:dyDescent="0.25">
      <c r="A10" s="173" t="str">
        <f t="shared" ref="A10:A16" si="1">A2</f>
        <v>l_f0</v>
      </c>
      <c r="B10" s="174">
        <f>[13]Mode_PA_l_f0_b0!B3</f>
        <v>84.075999999999993</v>
      </c>
      <c r="C10" s="174">
        <f>[13]Mode_PA_l_f0_b0!C3</f>
        <v>80.539039447165607</v>
      </c>
      <c r="D10" s="174">
        <f>[13]Mode_PA_l_f0_b0!D3</f>
        <v>87.613137543283798</v>
      </c>
      <c r="E10" s="174">
        <f>[13]Mode_PA_l_f0_b0!E3</f>
        <v>1.623</v>
      </c>
      <c r="F10" s="174">
        <f>[13]Mode_PA_l_f0_b0!F3</f>
        <v>51.802999999999997</v>
      </c>
      <c r="G10" s="174">
        <f>[13]Mode_PA_l_f0_b0!G3</f>
        <v>11.97</v>
      </c>
      <c r="H10" s="175">
        <f>[13]Mode_PA_l_f0_b0!H3</f>
        <v>1.9000000000000001E-15</v>
      </c>
      <c r="I10" s="175">
        <f>[13]Mode_PA_l_f0_b0!I3</f>
        <v>7.6000000000000004E-15</v>
      </c>
      <c r="J10" s="177" t="str">
        <f>[13]Mode_PA_l_f0_b0!J3</f>
        <v>p&lt;0.0001</v>
      </c>
      <c r="K10" s="174">
        <f t="shared" ref="K10:L16" si="2">K2</f>
        <v>5.6672945964226902E-2</v>
      </c>
      <c r="L10" s="174">
        <f t="shared" si="2"/>
        <v>0.95092595995270601</v>
      </c>
    </row>
    <row r="11" spans="1:12" x14ac:dyDescent="0.25">
      <c r="A11" s="178" t="str">
        <f t="shared" si="1"/>
        <v>h_f0</v>
      </c>
      <c r="B11" s="178">
        <f>[15]Mode_PA_h_f0_b0!B3</f>
        <v>90.578000000000003</v>
      </c>
      <c r="C11" s="179">
        <f>[15]Mode_PA_h_f0_b0!C3</f>
        <v>86.540423250920597</v>
      </c>
      <c r="D11" s="179">
        <f>[15]Mode_PA_h_f0_b0!D3</f>
        <v>94.615525934098201</v>
      </c>
      <c r="E11" s="179">
        <f>[15]Mode_PA_h_f0_b0!E3</f>
        <v>1.8029999999999999</v>
      </c>
      <c r="F11" s="179">
        <f>[15]Mode_PA_h_f0_b0!F3</f>
        <v>50.234000000000002</v>
      </c>
      <c r="G11" s="179">
        <f>[15]Mode_PA_h_f0_b0!G3</f>
        <v>9.65</v>
      </c>
      <c r="H11" s="180">
        <f>[15]Mode_PA_h_f0_b0!H3</f>
        <v>5.4000000000000002E-13</v>
      </c>
      <c r="I11" s="180">
        <f>[15]Mode_PA_h_f0_b0!I3</f>
        <v>1.4000000000000001E-12</v>
      </c>
      <c r="J11" s="182" t="str">
        <f>[15]Mode_PA_h_f0_b0!J3</f>
        <v>p&lt;0.0001</v>
      </c>
      <c r="K11" s="179">
        <f t="shared" si="2"/>
        <v>0.11904129817262001</v>
      </c>
      <c r="L11" s="179">
        <f t="shared" si="2"/>
        <v>0.90843440204111703</v>
      </c>
    </row>
    <row r="12" spans="1:12" x14ac:dyDescent="0.25">
      <c r="A12" s="178" t="str">
        <f t="shared" si="1"/>
        <v>lh_exc</v>
      </c>
      <c r="B12" s="178">
        <f>[17]Mode_PA_f0_exc_b0!B3</f>
        <v>6.1369999999999996</v>
      </c>
      <c r="C12" s="179">
        <f>[17]Mode_PA_f0_exc_b0!C3</f>
        <v>5.1662705164212399</v>
      </c>
      <c r="D12" s="179">
        <f>[17]Mode_PA_f0_exc_b0!D3</f>
        <v>7.1086712077594196</v>
      </c>
      <c r="E12" s="179">
        <f>[17]Mode_PA_f0_exc_b0!E3</f>
        <v>0.435</v>
      </c>
      <c r="F12" s="179">
        <f>[17]Mode_PA_f0_exc_b0!F3</f>
        <v>14.124000000000001</v>
      </c>
      <c r="G12" s="179">
        <f>[17]Mode_PA_f0_exc_b0!G3</f>
        <v>9.7799999999999994</v>
      </c>
      <c r="H12" s="180">
        <f>[17]Mode_PA_f0_exc_b0!H3</f>
        <v>7.9000000000000006E-8</v>
      </c>
      <c r="I12" s="180">
        <f>[17]Mode_PA_f0_exc_b0!I3</f>
        <v>1.6999999999999999E-7</v>
      </c>
      <c r="J12" s="182" t="str">
        <f>[17]Mode_PA_f0_exc_b0!J3</f>
        <v>p&lt;0.0001</v>
      </c>
      <c r="K12" s="179">
        <f t="shared" si="2"/>
        <v>0.15391938089183299</v>
      </c>
      <c r="L12" s="179">
        <f t="shared" si="2"/>
        <v>0.70030882518417004</v>
      </c>
    </row>
    <row r="13" spans="1:12" x14ac:dyDescent="0.25">
      <c r="A13" s="178" t="str">
        <f t="shared" si="1"/>
        <v>lh_mean_f0</v>
      </c>
      <c r="B13" s="178">
        <f>[19]Mode_PA_lh_mean_f0_b0!B3</f>
        <v>87.033000000000001</v>
      </c>
      <c r="C13" s="179">
        <f>[19]Mode_PA_lh_mean_f0_b0!C3</f>
        <v>83.495692635779406</v>
      </c>
      <c r="D13" s="179">
        <f>[19]Mode_PA_lh_mean_f0_b0!D3</f>
        <v>90.569758221227403</v>
      </c>
      <c r="E13" s="179">
        <f>[19]Mode_PA_lh_mean_f0_b0!E3</f>
        <v>1.6220000000000001</v>
      </c>
      <c r="F13" s="179">
        <f>[19]Mode_PA_lh_mean_f0_b0!F3</f>
        <v>53.645000000000003</v>
      </c>
      <c r="G13" s="179">
        <f>[19]Mode_PA_lh_mean_f0_b0!G3</f>
        <v>11.93</v>
      </c>
      <c r="H13" s="180">
        <f>[19]Mode_PA_lh_mean_f0_b0!H3</f>
        <v>1.3E-15</v>
      </c>
      <c r="I13" s="180">
        <f>[19]Mode_PA_lh_mean_f0_b0!I3</f>
        <v>7.0000000000000001E-15</v>
      </c>
      <c r="J13" s="182" t="str">
        <f>[19]Mode_PA_lh_mean_f0_b0!J3</f>
        <v>p&lt;0.0001</v>
      </c>
      <c r="K13" s="179">
        <f t="shared" si="2"/>
        <v>8.4810456128037004E-2</v>
      </c>
      <c r="L13" s="179">
        <f t="shared" si="2"/>
        <v>0.93932332827405896</v>
      </c>
    </row>
    <row r="14" spans="1:12" x14ac:dyDescent="0.25">
      <c r="A14" s="183" t="str">
        <f t="shared" si="1"/>
        <v>l_t</v>
      </c>
      <c r="B14" s="183">
        <f>[21]Mode_PA_l_t_b0!B3</f>
        <v>67.731999999999999</v>
      </c>
      <c r="C14" s="179">
        <f>[21]Mode_PA_l_t_b0!C3</f>
        <v>46.229535903865603</v>
      </c>
      <c r="D14" s="179">
        <f>[21]Mode_PA_l_t_b0!D3</f>
        <v>89.235346654396906</v>
      </c>
      <c r="E14" s="179">
        <f>[21]Mode_PA_l_t_b0!E3</f>
        <v>9.8889999999999993</v>
      </c>
      <c r="F14" s="179">
        <f>[21]Mode_PA_l_t_b0!F3</f>
        <v>6.8490000000000002</v>
      </c>
      <c r="G14" s="179">
        <f>[21]Mode_PA_l_t_b0!G3</f>
        <v>12.22</v>
      </c>
      <c r="H14" s="180">
        <f>[21]Mode_PA_l_t_b0!H3</f>
        <v>1.5999999999999999E-5</v>
      </c>
      <c r="I14" s="180">
        <f>[21]Mode_PA_l_t_b0!I3</f>
        <v>2.9E-5</v>
      </c>
      <c r="J14" s="182" t="str">
        <f>[21]Mode_PA_l_t_b0!J3</f>
        <v>p&lt;0.0001</v>
      </c>
      <c r="K14" s="179">
        <f t="shared" si="2"/>
        <v>7.2121393405386897E-2</v>
      </c>
      <c r="L14" s="179">
        <f t="shared" si="2"/>
        <v>0.77329835004832403</v>
      </c>
    </row>
    <row r="15" spans="1:12" x14ac:dyDescent="0.25">
      <c r="A15" s="183" t="str">
        <f t="shared" si="1"/>
        <v>h_t</v>
      </c>
      <c r="B15" s="183">
        <f>[23]Mode_PA_h_t_b0!B3</f>
        <v>267.76299999999998</v>
      </c>
      <c r="C15" s="179">
        <f>[23]Mode_PA_h_t_b0!C3</f>
        <v>187.32326051934601</v>
      </c>
      <c r="D15" s="179">
        <f>[23]Mode_PA_h_t_b0!D3</f>
        <v>348.20301835662201</v>
      </c>
      <c r="E15" s="179">
        <f>[23]Mode_PA_h_t_b0!E3</f>
        <v>30.709</v>
      </c>
      <c r="F15" s="179">
        <f>[23]Mode_PA_h_t_b0!F3</f>
        <v>8.7189999999999994</v>
      </c>
      <c r="G15" s="179">
        <f>[23]Mode_PA_h_t_b0!G3</f>
        <v>4.71</v>
      </c>
      <c r="H15" s="184">
        <f>[23]Mode_PA_h_t_b0!H3</f>
        <v>4.4000000000000002E-4</v>
      </c>
      <c r="I15" s="184">
        <f>[23]Mode_PA_h_t_b0!I3</f>
        <v>5.5000000000000003E-4</v>
      </c>
      <c r="J15" s="182" t="str">
        <f>[23]Mode_PA_h_t_b0!J3</f>
        <v>p&lt;0.001</v>
      </c>
      <c r="K15" s="179">
        <f t="shared" si="2"/>
        <v>2.16840471179113E-2</v>
      </c>
      <c r="L15" s="179">
        <f t="shared" si="2"/>
        <v>0.85479648531734098</v>
      </c>
    </row>
    <row r="16" spans="1:12" ht="13.8" thickBot="1" x14ac:dyDescent="0.3">
      <c r="A16" s="185" t="str">
        <f t="shared" si="1"/>
        <v>lh_slope</v>
      </c>
      <c r="B16" s="186">
        <f>[25]Mode_PA_lh_slope_b0!B3</f>
        <v>36.759</v>
      </c>
      <c r="C16" s="186">
        <f>[25]Mode_PA_lh_slope_b0!C3</f>
        <v>21.3325029798274</v>
      </c>
      <c r="D16" s="186">
        <f>[25]Mode_PA_lh_slope_b0!D3</f>
        <v>52.184601810676398</v>
      </c>
      <c r="E16" s="186">
        <f>[25]Mode_PA_lh_slope_b0!E3</f>
        <v>5.1239999999999997</v>
      </c>
      <c r="F16" s="186">
        <f>[25]Mode_PA_lh_slope_b0!F3</f>
        <v>7.173</v>
      </c>
      <c r="G16" s="186">
        <f>[25]Mode_PA_lh_slope_b0!G3</f>
        <v>3.33</v>
      </c>
      <c r="H16" s="187">
        <f>[25]Mode_PA_lh_slope_b0!H3</f>
        <v>4.0000000000000001E-3</v>
      </c>
      <c r="I16" s="187">
        <f>[25]Mode_PA_lh_slope_b0!I3</f>
        <v>4.0000000000000001E-3</v>
      </c>
      <c r="J16" s="188" t="str">
        <f>[25]Mode_PA_lh_slope_b0!J3</f>
        <v>p&lt;0.01</v>
      </c>
      <c r="K16" s="186">
        <f t="shared" si="2"/>
        <v>0.15391938089183299</v>
      </c>
      <c r="L16" s="186">
        <f t="shared" si="2"/>
        <v>0.70030882518417004</v>
      </c>
    </row>
    <row r="17" spans="1:12" ht="16.8" thickTop="1" thickBot="1" x14ac:dyDescent="0.3">
      <c r="A17" s="171" t="s">
        <v>20</v>
      </c>
      <c r="B17" s="171" t="str">
        <f t="shared" ref="B17:J17" si="3">B1</f>
        <v>est.</v>
      </c>
      <c r="C17" s="171" t="str">
        <f t="shared" si="3"/>
        <v>2.5% CI</v>
      </c>
      <c r="D17" s="171" t="str">
        <f t="shared" si="3"/>
        <v>07.5% CI</v>
      </c>
      <c r="E17" s="171" t="str">
        <f t="shared" si="3"/>
        <v>std.error</v>
      </c>
      <c r="F17" s="171" t="str">
        <f t="shared" si="3"/>
        <v>t</v>
      </c>
      <c r="G17" s="171" t="str">
        <f t="shared" si="3"/>
        <v>df</v>
      </c>
      <c r="H17" s="171" t="str">
        <f t="shared" si="3"/>
        <v>p. val.</v>
      </c>
      <c r="I17" s="171" t="str">
        <f t="shared" si="3"/>
        <v>p.adj</v>
      </c>
      <c r="J17" s="171" t="str">
        <f t="shared" si="3"/>
        <v>sig.</v>
      </c>
      <c r="K17" s="171" t="s">
        <v>68</v>
      </c>
      <c r="L17" s="171" t="s">
        <v>69</v>
      </c>
    </row>
    <row r="18" spans="1:12" ht="13.8" thickTop="1" x14ac:dyDescent="0.25">
      <c r="A18" s="173" t="str">
        <f t="shared" ref="A18:A24" si="4">A2</f>
        <v>l_f0</v>
      </c>
      <c r="B18" s="173">
        <f>[13]Mode_PA_l_f0_b0!B4</f>
        <v>85.177999999999997</v>
      </c>
      <c r="C18" s="174">
        <f>[13]Mode_PA_l_f0_b0!C4</f>
        <v>81.639854239581595</v>
      </c>
      <c r="D18" s="174">
        <f>[13]Mode_PA_l_f0_b0!D4</f>
        <v>88.716349917043104</v>
      </c>
      <c r="E18" s="174">
        <f>[13]Mode_PA_l_f0_b0!E4</f>
        <v>1.6240000000000001</v>
      </c>
      <c r="F18" s="174">
        <f>[13]Mode_PA_l_f0_b0!F4</f>
        <v>52.45</v>
      </c>
      <c r="G18" s="174">
        <f>[13]Mode_PA_l_f0_b0!G4</f>
        <v>12</v>
      </c>
      <c r="H18" s="189">
        <f>[13]Mode_PA_l_f0_b0!H4</f>
        <v>1.4999999999999999E-15</v>
      </c>
      <c r="I18" s="189">
        <f>[13]Mode_PA_l_f0_b0!I4</f>
        <v>7.0000000000000001E-15</v>
      </c>
      <c r="J18" s="177" t="str">
        <f>[13]Mode_PA_l_f0_b0!J4</f>
        <v>p&lt;0.0001</v>
      </c>
      <c r="K18" s="174">
        <f t="shared" ref="K18:L24" si="5">K2</f>
        <v>5.6672945964226902E-2</v>
      </c>
      <c r="L18" s="174">
        <f t="shared" si="5"/>
        <v>0.95092595995270601</v>
      </c>
    </row>
    <row r="19" spans="1:12" x14ac:dyDescent="0.25">
      <c r="A19" s="178" t="str">
        <f t="shared" si="4"/>
        <v>h_f0</v>
      </c>
      <c r="B19" s="178">
        <f>[15]Mode_PA_h_f0_b0!B4</f>
        <v>91.29</v>
      </c>
      <c r="C19" s="179">
        <f>[15]Mode_PA_h_f0_b0!C4</f>
        <v>87.250257609612504</v>
      </c>
      <c r="D19" s="179">
        <f>[15]Mode_PA_h_f0_b0!D4</f>
        <v>95.329182144316803</v>
      </c>
      <c r="E19" s="179">
        <f>[15]Mode_PA_h_f0_b0!E4</f>
        <v>1.8049999999999999</v>
      </c>
      <c r="F19" s="179">
        <f>[15]Mode_PA_h_f0_b0!F4</f>
        <v>50.573999999999998</v>
      </c>
      <c r="G19" s="179">
        <f>[15]Mode_PA_h_f0_b0!G4</f>
        <v>9.69</v>
      </c>
      <c r="H19" s="190">
        <f>[15]Mode_PA_h_f0_b0!H4</f>
        <v>4.5999999999999996E-13</v>
      </c>
      <c r="I19" s="190">
        <f>[15]Mode_PA_h_f0_b0!I4</f>
        <v>1.2999999999999999E-12</v>
      </c>
      <c r="J19" s="182" t="str">
        <f>[15]Mode_PA_h_f0_b0!J4</f>
        <v>p&lt;0.0001</v>
      </c>
      <c r="K19" s="179">
        <f t="shared" si="5"/>
        <v>0.11904129817262001</v>
      </c>
      <c r="L19" s="179">
        <f t="shared" si="5"/>
        <v>0.90843440204111703</v>
      </c>
    </row>
    <row r="20" spans="1:12" x14ac:dyDescent="0.25">
      <c r="A20" s="178" t="str">
        <f t="shared" si="4"/>
        <v>lh_exc</v>
      </c>
      <c r="B20" s="178">
        <f>[17]Mode_PA_f0_exc_b0!B4</f>
        <v>5.84</v>
      </c>
      <c r="C20" s="179">
        <f>[17]Mode_PA_f0_exc_b0!C4</f>
        <v>4.8643674037874698</v>
      </c>
      <c r="D20" s="179">
        <f>[17]Mode_PA_f0_exc_b0!D4</f>
        <v>6.8152749279039302</v>
      </c>
      <c r="E20" s="179">
        <f>[17]Mode_PA_f0_exc_b0!E4</f>
        <v>0.439</v>
      </c>
      <c r="F20" s="179">
        <f>[17]Mode_PA_f0_exc_b0!F4</f>
        <v>13.304</v>
      </c>
      <c r="G20" s="179">
        <f>[17]Mode_PA_f0_exc_b0!G4</f>
        <v>10.199999999999999</v>
      </c>
      <c r="H20" s="190">
        <f>[17]Mode_PA_f0_exc_b0!H4</f>
        <v>8.9999999999999999E-8</v>
      </c>
      <c r="I20" s="190">
        <f>[17]Mode_PA_f0_exc_b0!I4</f>
        <v>1.8E-7</v>
      </c>
      <c r="J20" s="182" t="str">
        <f>[17]Mode_PA_f0_exc_b0!J4</f>
        <v>p&lt;0.0001</v>
      </c>
      <c r="K20" s="179">
        <f t="shared" si="5"/>
        <v>0.15391938089183299</v>
      </c>
      <c r="L20" s="179">
        <f t="shared" si="5"/>
        <v>0.70030882518417004</v>
      </c>
    </row>
    <row r="21" spans="1:12" x14ac:dyDescent="0.25">
      <c r="A21" s="178" t="str">
        <f t="shared" si="4"/>
        <v>lh_mean_f0</v>
      </c>
      <c r="B21" s="178">
        <f>[19]Mode_PA_lh_mean_f0_b0!B4</f>
        <v>88.046000000000006</v>
      </c>
      <c r="C21" s="179">
        <f>[19]Mode_PA_lh_mean_f0_b0!C4</f>
        <v>84.507017589691699</v>
      </c>
      <c r="D21" s="179">
        <f>[19]Mode_PA_lh_mean_f0_b0!D4</f>
        <v>91.584112462550905</v>
      </c>
      <c r="E21" s="179">
        <f>[19]Mode_PA_lh_mean_f0_b0!E4</f>
        <v>1.6240000000000001</v>
      </c>
      <c r="F21" s="179">
        <f>[19]Mode_PA_lh_mean_f0_b0!F4</f>
        <v>54.228000000000002</v>
      </c>
      <c r="G21" s="179">
        <f>[19]Mode_PA_lh_mean_f0_b0!G4</f>
        <v>11.97</v>
      </c>
      <c r="H21" s="190">
        <f>[19]Mode_PA_lh_mean_f0_b0!H4</f>
        <v>1.0999999999999999E-15</v>
      </c>
      <c r="I21" s="190">
        <f>[19]Mode_PA_lh_mean_f0_b0!I4</f>
        <v>7.0000000000000001E-15</v>
      </c>
      <c r="J21" s="182" t="str">
        <f>[19]Mode_PA_lh_mean_f0_b0!J4</f>
        <v>p&lt;0.0001</v>
      </c>
      <c r="K21" s="179">
        <f t="shared" si="5"/>
        <v>8.4810456128037004E-2</v>
      </c>
      <c r="L21" s="179">
        <f t="shared" si="5"/>
        <v>0.93932332827405896</v>
      </c>
    </row>
    <row r="22" spans="1:12" x14ac:dyDescent="0.25">
      <c r="A22" s="183" t="str">
        <f t="shared" si="4"/>
        <v>l_t</v>
      </c>
      <c r="B22" s="183">
        <f>[21]Mode_PA_l_t_b0!B4</f>
        <v>69.475999999999999</v>
      </c>
      <c r="C22" s="179">
        <f>[21]Mode_PA_l_t_b0!C4</f>
        <v>47.925440531509501</v>
      </c>
      <c r="D22" s="179">
        <f>[21]Mode_PA_l_t_b0!D4</f>
        <v>91.026647140951795</v>
      </c>
      <c r="E22" s="179">
        <f>[21]Mode_PA_l_t_b0!E4</f>
        <v>9.9280000000000008</v>
      </c>
      <c r="F22" s="179">
        <f>[21]Mode_PA_l_t_b0!F4</f>
        <v>6.9980000000000002</v>
      </c>
      <c r="G22" s="179">
        <f>[21]Mode_PA_l_t_b0!G4</f>
        <v>12.42</v>
      </c>
      <c r="H22" s="191">
        <f>[21]Mode_PA_l_t_b0!H4</f>
        <v>1.2E-5</v>
      </c>
      <c r="I22" s="191">
        <f>[21]Mode_PA_l_t_b0!I4</f>
        <v>2.1999999999999999E-5</v>
      </c>
      <c r="J22" s="182" t="str">
        <f>[21]Mode_PA_l_t_b0!J4</f>
        <v>p&lt;0.0001</v>
      </c>
      <c r="K22" s="179">
        <f t="shared" si="5"/>
        <v>7.2121393405386897E-2</v>
      </c>
      <c r="L22" s="179">
        <f t="shared" si="5"/>
        <v>0.77329835004832403</v>
      </c>
    </row>
    <row r="23" spans="1:12" x14ac:dyDescent="0.25">
      <c r="A23" s="183" t="str">
        <f t="shared" si="4"/>
        <v>h_t</v>
      </c>
      <c r="B23" s="183">
        <f>[23]Mode_PA_h_t_b0!B4</f>
        <v>268.13499999999999</v>
      </c>
      <c r="C23" s="179">
        <f>[23]Mode_PA_h_t_b0!C4</f>
        <v>187.71465171112101</v>
      </c>
      <c r="D23" s="179">
        <f>[23]Mode_PA_h_t_b0!D4</f>
        <v>348.55534105270402</v>
      </c>
      <c r="E23" s="179">
        <f>[23]Mode_PA_h_t_b0!E4</f>
        <v>30.734999999999999</v>
      </c>
      <c r="F23" s="179">
        <f>[23]Mode_PA_h_t_b0!F4</f>
        <v>8.7240000000000002</v>
      </c>
      <c r="G23" s="179">
        <f>[23]Mode_PA_h_t_b0!G4</f>
        <v>4.72</v>
      </c>
      <c r="H23" s="191">
        <f>[23]Mode_PA_h_t_b0!H4</f>
        <v>4.4000000000000002E-4</v>
      </c>
      <c r="I23" s="191">
        <f>[23]Mode_PA_h_t_b0!I4</f>
        <v>5.5000000000000003E-4</v>
      </c>
      <c r="J23" s="182" t="str">
        <f>[23]Mode_PA_h_t_b0!J4</f>
        <v>p&lt;0.001</v>
      </c>
      <c r="K23" s="179">
        <f t="shared" si="5"/>
        <v>2.16840471179113E-2</v>
      </c>
      <c r="L23" s="179">
        <f t="shared" si="5"/>
        <v>0.85479648531734098</v>
      </c>
    </row>
    <row r="24" spans="1:12" ht="13.8" thickBot="1" x14ac:dyDescent="0.3">
      <c r="A24" s="185" t="str">
        <f t="shared" si="4"/>
        <v>lh_slope</v>
      </c>
      <c r="B24" s="186">
        <f>[25]Mode_PA_lh_slope_b0!B4</f>
        <v>35.253999999999998</v>
      </c>
      <c r="C24" s="186">
        <f>[25]Mode_PA_lh_slope_b0!C4</f>
        <v>19.866728911862801</v>
      </c>
      <c r="D24" s="186">
        <f>[25]Mode_PA_lh_slope_b0!D4</f>
        <v>50.640272439518597</v>
      </c>
      <c r="E24" s="186">
        <f>[25]Mode_PA_lh_slope_b0!E4</f>
        <v>5.1379999999999999</v>
      </c>
      <c r="F24" s="186">
        <f>[25]Mode_PA_lh_slope_b0!F4</f>
        <v>6.8609999999999998</v>
      </c>
      <c r="G24" s="186">
        <f>[25]Mode_PA_lh_slope_b0!G4</f>
        <v>3.37</v>
      </c>
      <c r="H24" s="192">
        <f>[25]Mode_PA_lh_slope_b0!H4</f>
        <v>4.0000000000000001E-3</v>
      </c>
      <c r="I24" s="192">
        <f>[25]Mode_PA_lh_slope_b0!I4</f>
        <v>4.0000000000000001E-3</v>
      </c>
      <c r="J24" s="188" t="str">
        <f>[25]Mode_PA_lh_slope_b0!J4</f>
        <v>p&lt;0.01</v>
      </c>
      <c r="K24" s="186">
        <f t="shared" si="5"/>
        <v>0.15391938089183299</v>
      </c>
      <c r="L24" s="186">
        <f t="shared" si="5"/>
        <v>0.70030882518417004</v>
      </c>
    </row>
    <row r="25" spans="1:12" ht="16.8" thickTop="1" thickBot="1" x14ac:dyDescent="0.3">
      <c r="A25" s="171" t="s">
        <v>21</v>
      </c>
      <c r="B25" s="171" t="str">
        <f t="shared" ref="B25:J25" si="6">B1</f>
        <v>est.</v>
      </c>
      <c r="C25" s="171" t="str">
        <f t="shared" si="6"/>
        <v>2.5% CI</v>
      </c>
      <c r="D25" s="171" t="str">
        <f t="shared" si="6"/>
        <v>07.5% CI</v>
      </c>
      <c r="E25" s="171" t="str">
        <f t="shared" si="6"/>
        <v>std.error</v>
      </c>
      <c r="F25" s="171" t="str">
        <f t="shared" si="6"/>
        <v>t</v>
      </c>
      <c r="G25" s="171" t="str">
        <f t="shared" si="6"/>
        <v>df</v>
      </c>
      <c r="H25" s="171" t="str">
        <f t="shared" si="6"/>
        <v>p. val.</v>
      </c>
      <c r="I25" s="171" t="str">
        <f t="shared" si="6"/>
        <v>p.adj</v>
      </c>
      <c r="J25" s="171" t="str">
        <f t="shared" si="6"/>
        <v>sig.</v>
      </c>
      <c r="K25" s="171" t="s">
        <v>68</v>
      </c>
      <c r="L25" s="171" t="s">
        <v>69</v>
      </c>
    </row>
    <row r="26" spans="1:12" ht="13.8" thickTop="1" x14ac:dyDescent="0.25">
      <c r="A26" s="173" t="str">
        <f t="shared" ref="A26:A32" si="7">A2</f>
        <v>l_f0</v>
      </c>
      <c r="B26" s="174">
        <f>[13]Mode_PA_l_f0_b0!B5</f>
        <v>85.031999999999996</v>
      </c>
      <c r="C26" s="174">
        <f>[13]Mode_PA_l_f0_b0!C5</f>
        <v>81.489369407447299</v>
      </c>
      <c r="D26" s="174">
        <f>[13]Mode_PA_l_f0_b0!D5</f>
        <v>88.574801692886098</v>
      </c>
      <c r="E26" s="174">
        <f>[13]Mode_PA_l_f0_b0!E5</f>
        <v>1.6279999999999999</v>
      </c>
      <c r="F26" s="174">
        <f>[13]Mode_PA_l_f0_b0!F5</f>
        <v>52.24</v>
      </c>
      <c r="G26" s="174">
        <f>[13]Mode_PA_l_f0_b0!G5</f>
        <v>12.12</v>
      </c>
      <c r="H26" s="189">
        <f>[13]Mode_PA_l_f0_b0!H5</f>
        <v>1.2E-15</v>
      </c>
      <c r="I26" s="193">
        <f>[13]Mode_PA_l_f0_b0!I5</f>
        <v>7.0000000000000001E-15</v>
      </c>
      <c r="J26" s="177" t="str">
        <f>[13]Mode_PA_l_f0_b0!J5</f>
        <v>p&lt;0.0001</v>
      </c>
      <c r="K26" s="174">
        <f t="shared" ref="K26:L32" si="8">K2</f>
        <v>5.6672945964226902E-2</v>
      </c>
      <c r="L26" s="174">
        <f t="shared" si="8"/>
        <v>0.95092595995270601</v>
      </c>
    </row>
    <row r="27" spans="1:12" x14ac:dyDescent="0.25">
      <c r="A27" s="178" t="str">
        <f t="shared" si="7"/>
        <v>h_f0</v>
      </c>
      <c r="B27" s="179">
        <f>[15]Mode_PA_h_f0_b0!B5</f>
        <v>92.46</v>
      </c>
      <c r="C27" s="179">
        <f>[15]Mode_PA_h_f0_b0!C5</f>
        <v>88.416665374418102</v>
      </c>
      <c r="D27" s="179">
        <f>[15]Mode_PA_h_f0_b0!D5</f>
        <v>96.504310766312699</v>
      </c>
      <c r="E27" s="179">
        <f>[15]Mode_PA_h_f0_b0!E5</f>
        <v>1.81</v>
      </c>
      <c r="F27" s="179">
        <f>[15]Mode_PA_h_f0_b0!F5</f>
        <v>51.093000000000004</v>
      </c>
      <c r="G27" s="179">
        <f>[15]Mode_PA_h_f0_b0!G5</f>
        <v>9.7899999999999991</v>
      </c>
      <c r="H27" s="190">
        <f>[15]Mode_PA_h_f0_b0!H5</f>
        <v>3.3000000000000001E-13</v>
      </c>
      <c r="I27" s="191">
        <f>[15]Mode_PA_h_f0_b0!I5</f>
        <v>9.5999999999999995E-13</v>
      </c>
      <c r="J27" s="182" t="str">
        <f>[15]Mode_PA_h_f0_b0!J5</f>
        <v>p&lt;0.0001</v>
      </c>
      <c r="K27" s="179">
        <f t="shared" si="8"/>
        <v>0.11904129817262001</v>
      </c>
      <c r="L27" s="179">
        <f t="shared" si="8"/>
        <v>0.90843440204111703</v>
      </c>
    </row>
    <row r="28" spans="1:12" x14ac:dyDescent="0.25">
      <c r="A28" s="178" t="str">
        <f t="shared" si="7"/>
        <v>lh_exc</v>
      </c>
      <c r="B28" s="179">
        <f>[17]Mode_PA_f0_exc_b0!B5</f>
        <v>6.8959999999999999</v>
      </c>
      <c r="C28" s="179">
        <f>[17]Mode_PA_f0_exc_b0!C5</f>
        <v>5.9103578334988898</v>
      </c>
      <c r="D28" s="179">
        <f>[17]Mode_PA_f0_exc_b0!D5</f>
        <v>7.8811496303687498</v>
      </c>
      <c r="E28" s="179">
        <f>[17]Mode_PA_f0_exc_b0!E5</f>
        <v>0.45100000000000001</v>
      </c>
      <c r="F28" s="179">
        <f>[17]Mode_PA_f0_exc_b0!F5</f>
        <v>15.303000000000001</v>
      </c>
      <c r="G28" s="179">
        <f>[17]Mode_PA_f0_exc_b0!G5</f>
        <v>11.62</v>
      </c>
      <c r="H28" s="190">
        <f>[17]Mode_PA_f0_exc_b0!H5</f>
        <v>4.6999999999999999E-9</v>
      </c>
      <c r="I28" s="191">
        <f>[17]Mode_PA_f0_exc_b0!I5</f>
        <v>1E-8</v>
      </c>
      <c r="J28" s="182" t="str">
        <f>[17]Mode_PA_f0_exc_b0!J5</f>
        <v>p&lt;0.0001</v>
      </c>
      <c r="K28" s="179">
        <f t="shared" si="8"/>
        <v>0.15391938089183299</v>
      </c>
      <c r="L28" s="179">
        <f t="shared" si="8"/>
        <v>0.70030882518417004</v>
      </c>
    </row>
    <row r="29" spans="1:12" x14ac:dyDescent="0.25">
      <c r="A29" s="178" t="str">
        <f t="shared" si="7"/>
        <v>lh_mean_f0</v>
      </c>
      <c r="B29" s="179">
        <f>[19]Mode_PA_lh_mean_f0_b0!B5</f>
        <v>88.299000000000007</v>
      </c>
      <c r="C29" s="179">
        <f>[19]Mode_PA_lh_mean_f0_b0!C5</f>
        <v>84.755079616203005</v>
      </c>
      <c r="D29" s="179">
        <f>[19]Mode_PA_lh_mean_f0_b0!D5</f>
        <v>91.842473483418502</v>
      </c>
      <c r="E29" s="179">
        <f>[19]Mode_PA_lh_mean_f0_b0!E5</f>
        <v>1.6279999999999999</v>
      </c>
      <c r="F29" s="179">
        <f>[19]Mode_PA_lh_mean_f0_b0!F5</f>
        <v>54.24</v>
      </c>
      <c r="G29" s="179">
        <f>[19]Mode_PA_lh_mean_f0_b0!G5</f>
        <v>12.1</v>
      </c>
      <c r="H29" s="190">
        <f>[19]Mode_PA_lh_mean_f0_b0!H5</f>
        <v>8.1000000000000005E-16</v>
      </c>
      <c r="I29" s="191">
        <f>[19]Mode_PA_lh_mean_f0_b0!I5</f>
        <v>6.1999999999999998E-15</v>
      </c>
      <c r="J29" s="182" t="str">
        <f>[19]Mode_PA_lh_mean_f0_b0!J5</f>
        <v>p&lt;0.0001</v>
      </c>
      <c r="K29" s="179">
        <f t="shared" si="8"/>
        <v>8.4810456128037004E-2</v>
      </c>
      <c r="L29" s="179">
        <f t="shared" si="8"/>
        <v>0.93932332827405896</v>
      </c>
    </row>
    <row r="30" spans="1:12" x14ac:dyDescent="0.25">
      <c r="A30" s="183" t="str">
        <f t="shared" si="7"/>
        <v>l_t</v>
      </c>
      <c r="B30" s="179">
        <f>[21]Mode_PA_l_t_b0!B5</f>
        <v>47.040999999999997</v>
      </c>
      <c r="C30" s="179">
        <f>[21]Mode_PA_l_t_b0!C5</f>
        <v>25.381162659949101</v>
      </c>
      <c r="D30" s="179">
        <f>[21]Mode_PA_l_t_b0!D5</f>
        <v>68.701789806570204</v>
      </c>
      <c r="E30" s="179">
        <f>[21]Mode_PA_l_t_b0!E5</f>
        <v>10.022</v>
      </c>
      <c r="F30" s="179">
        <f>[21]Mode_PA_l_t_b0!F5</f>
        <v>4.694</v>
      </c>
      <c r="G30" s="179">
        <f>[21]Mode_PA_l_t_b0!G5</f>
        <v>12.95</v>
      </c>
      <c r="H30" s="190">
        <f>[21]Mode_PA_l_t_b0!H5</f>
        <v>4.2000000000000002E-4</v>
      </c>
      <c r="I30" s="191">
        <f>[21]Mode_PA_l_t_b0!I5</f>
        <v>5.5999999999999995E-4</v>
      </c>
      <c r="J30" s="182" t="str">
        <f>[21]Mode_PA_l_t_b0!J5</f>
        <v>p&lt;0.001</v>
      </c>
      <c r="K30" s="179">
        <f t="shared" si="8"/>
        <v>7.2121393405386897E-2</v>
      </c>
      <c r="L30" s="179">
        <f t="shared" si="8"/>
        <v>0.77329835004832403</v>
      </c>
    </row>
    <row r="31" spans="1:12" x14ac:dyDescent="0.25">
      <c r="A31" s="183" t="str">
        <f t="shared" si="7"/>
        <v>h_t</v>
      </c>
      <c r="B31" s="179">
        <f>[23]Mode_PA_h_t_b0!B5</f>
        <v>252.32</v>
      </c>
      <c r="C31" s="179">
        <f>[23]Mode_PA_h_t_b0!C5</f>
        <v>171.94632084485599</v>
      </c>
      <c r="D31" s="179">
        <f>[23]Mode_PA_h_t_b0!D5</f>
        <v>332.694222669618</v>
      </c>
      <c r="E31" s="179">
        <f>[23]Mode_PA_h_t_b0!E5</f>
        <v>30.795000000000002</v>
      </c>
      <c r="F31" s="179">
        <f>[23]Mode_PA_h_t_b0!F5</f>
        <v>8.1940000000000008</v>
      </c>
      <c r="G31" s="179">
        <f>[23]Mode_PA_h_t_b0!G5</f>
        <v>4.76</v>
      </c>
      <c r="H31" s="191">
        <f>[23]Mode_PA_h_t_b0!H5</f>
        <v>5.5999999999999995E-4</v>
      </c>
      <c r="I31" s="191">
        <f>[23]Mode_PA_h_t_b0!I5</f>
        <v>6.4999999999999997E-4</v>
      </c>
      <c r="J31" s="182" t="str">
        <f>[23]Mode_PA_h_t_b0!J5</f>
        <v>p&lt;0.001</v>
      </c>
      <c r="K31" s="179">
        <f t="shared" si="8"/>
        <v>2.16840471179113E-2</v>
      </c>
      <c r="L31" s="179">
        <f t="shared" si="8"/>
        <v>0.85479648531734098</v>
      </c>
    </row>
    <row r="32" spans="1:12" x14ac:dyDescent="0.25">
      <c r="A32" s="185" t="str">
        <f t="shared" si="7"/>
        <v>lh_slope</v>
      </c>
      <c r="B32" s="186">
        <f>[25]Mode_PA_lh_slope_b0!B5</f>
        <v>40.253</v>
      </c>
      <c r="C32" s="186">
        <f>[25]Mode_PA_lh_slope_b0!C5</f>
        <v>24.9750181521851</v>
      </c>
      <c r="D32" s="186">
        <f>[25]Mode_PA_lh_slope_b0!D5</f>
        <v>55.531194866184798</v>
      </c>
      <c r="E32" s="186">
        <f>[25]Mode_PA_lh_slope_b0!E5</f>
        <v>5.1769999999999996</v>
      </c>
      <c r="F32" s="186">
        <f>[25]Mode_PA_lh_slope_b0!F5</f>
        <v>7.7759999999999998</v>
      </c>
      <c r="G32" s="186">
        <f>[25]Mode_PA_lh_slope_b0!G5</f>
        <v>3.47</v>
      </c>
      <c r="H32" s="192">
        <f>[25]Mode_PA_lh_slope_b0!H5</f>
        <v>3.0000000000000001E-3</v>
      </c>
      <c r="I32" s="192">
        <f>[25]Mode_PA_lh_slope_b0!I5</f>
        <v>3.0000000000000001E-3</v>
      </c>
      <c r="J32" s="188" t="str">
        <f>[25]Mode_PA_lh_slope_b0!J5</f>
        <v>p&lt;0.01</v>
      </c>
      <c r="K32" s="186">
        <f t="shared" si="8"/>
        <v>0.15391938089183299</v>
      </c>
      <c r="L32" s="186">
        <f t="shared" si="8"/>
        <v>0.70030882518417004</v>
      </c>
    </row>
    <row r="34" spans="1:27" ht="25.8" x14ac:dyDescent="0.25">
      <c r="A34" s="1" t="s">
        <v>13</v>
      </c>
      <c r="B34" s="5"/>
      <c r="C34" s="5"/>
      <c r="D34" s="5"/>
      <c r="E34" s="5"/>
      <c r="F34" s="60"/>
      <c r="G34" s="60"/>
      <c r="H34" s="170"/>
    </row>
    <row r="35" spans="1:27" ht="14.4" x14ac:dyDescent="0.25">
      <c r="A35" s="2" t="s">
        <v>0</v>
      </c>
      <c r="B35" s="6" t="s">
        <v>1</v>
      </c>
      <c r="C35" s="9" t="s">
        <v>10</v>
      </c>
      <c r="D35" s="9" t="s">
        <v>11</v>
      </c>
      <c r="E35" s="9" t="s">
        <v>7</v>
      </c>
      <c r="F35" s="9" t="s">
        <v>32</v>
      </c>
      <c r="G35" s="62"/>
      <c r="H35" s="170"/>
      <c r="V35" s="170"/>
      <c r="W35" s="170"/>
      <c r="X35" s="170"/>
      <c r="Y35" s="170"/>
      <c r="Z35" s="170"/>
      <c r="AA35" s="170"/>
    </row>
    <row r="36" spans="1:27" ht="14.4" x14ac:dyDescent="0.25">
      <c r="A36" s="47" t="s">
        <v>18</v>
      </c>
      <c r="B36" s="48">
        <f>[21]Mode_PA_l_t_b0!B2</f>
        <v>67.408000000000001</v>
      </c>
      <c r="C36" s="66">
        <f>[21]Mode_PA_l_t_b0!C2</f>
        <v>45.906075043170702</v>
      </c>
      <c r="D36" s="66">
        <f>[21]Mode_PA_l_t_b0!D2</f>
        <v>88.909427524989596</v>
      </c>
      <c r="E36" s="66">
        <f>[21]Mode_PA_l_t_b0!E2</f>
        <v>9.8879999999999999</v>
      </c>
      <c r="F36" s="46">
        <f>Table5[[#This Row],[Estimates]]-Table5[[#This Row],[2.5% CI]]</f>
        <v>21.501924956829299</v>
      </c>
      <c r="G36" s="67"/>
      <c r="H36" s="170"/>
    </row>
    <row r="37" spans="1:27" ht="14.4" x14ac:dyDescent="0.25">
      <c r="A37" s="47" t="s">
        <v>19</v>
      </c>
      <c r="B37" s="48">
        <f>[21]Mode_PA_l_t_b0!B3</f>
        <v>67.731999999999999</v>
      </c>
      <c r="C37" s="66">
        <f>[21]Mode_PA_l_t_b0!C3</f>
        <v>46.229535903865603</v>
      </c>
      <c r="D37" s="66">
        <f>[21]Mode_PA_l_t_b0!D3</f>
        <v>89.235346654396906</v>
      </c>
      <c r="E37" s="66">
        <f>[21]Mode_PA_l_t_b0!E3</f>
        <v>9.8889999999999993</v>
      </c>
      <c r="F37" s="69">
        <f>Table5[[#This Row],[Estimates]]-Table5[[#This Row],[2.5% CI]]</f>
        <v>21.502464096134396</v>
      </c>
      <c r="G37" s="67"/>
      <c r="H37" s="170"/>
    </row>
    <row r="38" spans="1:27" ht="14.4" x14ac:dyDescent="0.25">
      <c r="A38" s="47" t="s">
        <v>20</v>
      </c>
      <c r="B38" s="48">
        <f>[21]Mode_PA_l_t_b0!B4</f>
        <v>69.475999999999999</v>
      </c>
      <c r="C38" s="66">
        <f>[21]Mode_PA_l_t_b0!C4</f>
        <v>47.925440531509501</v>
      </c>
      <c r="D38" s="66">
        <f>[21]Mode_PA_l_t_b0!D4</f>
        <v>91.026647140951795</v>
      </c>
      <c r="E38" s="66">
        <f>[21]Mode_PA_l_t_b0!E4</f>
        <v>9.9280000000000008</v>
      </c>
      <c r="F38" s="69">
        <f>Table5[[#This Row],[Estimates]]-Table5[[#This Row],[2.5% CI]]</f>
        <v>21.550559468490498</v>
      </c>
      <c r="G38" s="67"/>
      <c r="H38" s="170"/>
    </row>
    <row r="39" spans="1:27" ht="14.4" x14ac:dyDescent="0.25">
      <c r="A39" s="47" t="s">
        <v>21</v>
      </c>
      <c r="B39" s="52">
        <f>[21]Mode_PA_l_t_b0!B5</f>
        <v>47.040999999999997</v>
      </c>
      <c r="C39" s="66">
        <f>[21]Mode_PA_l_t_b0!C5</f>
        <v>25.381162659949101</v>
      </c>
      <c r="D39" s="66">
        <f>[21]Mode_PA_l_t_b0!D5</f>
        <v>68.701789806570204</v>
      </c>
      <c r="E39" s="66">
        <f>[21]Mode_PA_l_t_b0!E5</f>
        <v>10.022</v>
      </c>
      <c r="F39" s="69">
        <f>Table5[[#This Row],[Estimates]]-Table5[[#This Row],[2.5% CI]]</f>
        <v>21.659837340050895</v>
      </c>
      <c r="G39" s="67"/>
      <c r="H39" s="170"/>
    </row>
    <row r="40" spans="1:27" ht="14.4" x14ac:dyDescent="0.25">
      <c r="A40" s="47" t="s">
        <v>33</v>
      </c>
      <c r="B40" s="48">
        <f>[21]Mode_PA_l_t_b0!B6</f>
        <v>67.408000000000001</v>
      </c>
      <c r="C40" s="66">
        <f>[21]Mode_PA_l_t_b0!C6</f>
        <v>45.906075043170702</v>
      </c>
      <c r="D40" s="66">
        <f>[21]Mode_PA_l_t_b0!D6</f>
        <v>88.909427524989596</v>
      </c>
      <c r="E40" s="66">
        <f>[21]Mode_PA_l_t_b0!E6</f>
        <v>9.8879999999999999</v>
      </c>
      <c r="F40" s="69">
        <f>Table5[[#This Row],[Estimates]]-Table5[[#This Row],[2.5% CI]]</f>
        <v>21.501924956829299</v>
      </c>
      <c r="G40" s="67"/>
      <c r="H40" s="170"/>
    </row>
    <row r="41" spans="1:27" ht="14.4" x14ac:dyDescent="0.25">
      <c r="A41" s="47" t="s">
        <v>34</v>
      </c>
      <c r="B41" s="48">
        <f>[21]Mode_PA_l_t_b0!B7</f>
        <v>81.248999999999995</v>
      </c>
      <c r="C41" s="66">
        <f>[21]Mode_PA_l_t_b0!C7</f>
        <v>51.745674146421401</v>
      </c>
      <c r="D41" s="66">
        <f>[21]Mode_PA_l_t_b0!D7</f>
        <v>110.7528902249</v>
      </c>
      <c r="E41" s="66">
        <f>[21]Mode_PA_l_t_b0!E7</f>
        <v>14.737</v>
      </c>
      <c r="F41" s="69">
        <f>Table5[[#This Row],[Estimates]]-Table5[[#This Row],[2.5% CI]]</f>
        <v>29.503325853578595</v>
      </c>
      <c r="G41" s="67"/>
      <c r="H41" s="170"/>
    </row>
    <row r="42" spans="1:27" ht="14.4" x14ac:dyDescent="0.25">
      <c r="A42" s="47" t="s">
        <v>35</v>
      </c>
      <c r="B42" s="48">
        <f>[21]Mode_PA_l_t_b0!B8</f>
        <v>63.344000000000001</v>
      </c>
      <c r="C42" s="66">
        <f>[21]Mode_PA_l_t_b0!C8</f>
        <v>40.548764552006098</v>
      </c>
      <c r="D42" s="66">
        <f>[21]Mode_PA_l_t_b0!D8</f>
        <v>86.140197086469001</v>
      </c>
      <c r="E42" s="66">
        <f>[21]Mode_PA_l_t_b0!E8</f>
        <v>10.831</v>
      </c>
      <c r="F42" s="69">
        <f>Table5[[#This Row],[Estimates]]-Table5[[#This Row],[2.5% CI]]</f>
        <v>22.795235447993903</v>
      </c>
      <c r="G42" s="67"/>
      <c r="H42" s="170"/>
    </row>
    <row r="43" spans="1:27" ht="14.4" x14ac:dyDescent="0.25">
      <c r="A43" s="54" t="s">
        <v>36</v>
      </c>
      <c r="B43" s="52">
        <f>[21]Mode_PA_l_t_b0!B9</f>
        <v>65.388999999999996</v>
      </c>
      <c r="C43" s="70">
        <f>[21]Mode_PA_l_t_b0!C9</f>
        <v>43.096406186970398</v>
      </c>
      <c r="D43" s="70">
        <f>[21]Mode_PA_l_t_b0!D9</f>
        <v>87.6806831178435</v>
      </c>
      <c r="E43" s="70">
        <f>[21]Mode_PA_l_t_b0!E9</f>
        <v>10.481</v>
      </c>
      <c r="F43" s="71">
        <f>Table5[[#This Row],[Estimates]]-Table5[[#This Row],[2.5% CI]]</f>
        <v>22.292593813029598</v>
      </c>
      <c r="G43" s="67"/>
      <c r="H43" s="170"/>
    </row>
    <row r="44" spans="1:27" ht="14.4" x14ac:dyDescent="0.25">
      <c r="A44" s="56"/>
      <c r="B44" s="57"/>
      <c r="C44" s="72"/>
      <c r="D44" s="72"/>
      <c r="E44" s="72"/>
      <c r="F44" s="73"/>
      <c r="G44" s="73"/>
      <c r="H44" s="170"/>
    </row>
    <row r="45" spans="1:27" ht="25.8" x14ac:dyDescent="0.25">
      <c r="A45" s="1" t="s">
        <v>14</v>
      </c>
      <c r="B45" s="1"/>
      <c r="C45" s="61"/>
      <c r="D45" s="61"/>
      <c r="E45" s="61"/>
      <c r="F45" s="60"/>
      <c r="G45" s="60"/>
      <c r="H45" s="170"/>
    </row>
    <row r="46" spans="1:27" ht="14.4" x14ac:dyDescent="0.25">
      <c r="A46" s="2" t="s">
        <v>0</v>
      </c>
      <c r="B46" s="6" t="s">
        <v>1</v>
      </c>
      <c r="C46" s="64" t="s">
        <v>10</v>
      </c>
      <c r="D46" s="64" t="s">
        <v>11</v>
      </c>
      <c r="E46" s="64" t="s">
        <v>7</v>
      </c>
      <c r="F46" s="9" t="s">
        <v>32</v>
      </c>
      <c r="G46" s="62"/>
      <c r="H46" s="170"/>
    </row>
    <row r="47" spans="1:27" ht="14.4" x14ac:dyDescent="0.25">
      <c r="A47" s="47" t="str">
        <f t="shared" ref="A47:A54" si="9">A36</f>
        <v>MDC</v>
      </c>
      <c r="B47" s="48">
        <f>[23]Mode_PA_h_t_b0!B2</f>
        <v>268.214</v>
      </c>
      <c r="C47" s="50">
        <f>[23]Mode_PA_h_t_b0!C2</f>
        <v>187.773596811201</v>
      </c>
      <c r="D47" s="50">
        <f>[23]Mode_PA_h_t_b0!D2</f>
        <v>348.65534627868499</v>
      </c>
      <c r="E47" s="50">
        <f>[23]Mode_PA_h_t_b0!E2</f>
        <v>30.707999999999998</v>
      </c>
      <c r="F47" s="74">
        <f>Table6[[#This Row],[Estimates]]-Table6[[#This Row],[2.5% CI]]</f>
        <v>80.440403188798996</v>
      </c>
      <c r="G47" s="67"/>
      <c r="H47" s="170"/>
    </row>
    <row r="48" spans="1:27" ht="14.4" x14ac:dyDescent="0.25">
      <c r="A48" s="47" t="str">
        <f t="shared" si="9"/>
        <v>MWH</v>
      </c>
      <c r="B48" s="48">
        <f>[23]Mode_PA_h_t_b0!B3</f>
        <v>267.76299999999998</v>
      </c>
      <c r="C48" s="50">
        <f>[23]Mode_PA_h_t_b0!C3</f>
        <v>187.32326051934601</v>
      </c>
      <c r="D48" s="50">
        <f>[23]Mode_PA_h_t_b0!D3</f>
        <v>348.20301835662201</v>
      </c>
      <c r="E48" s="50">
        <f>[23]Mode_PA_h_t_b0!E3</f>
        <v>30.709</v>
      </c>
      <c r="F48" s="75">
        <f>Table6[[#This Row],[Estimates]]-Table6[[#This Row],[2.5% CI]]</f>
        <v>80.439739480653969</v>
      </c>
      <c r="G48" s="67"/>
      <c r="H48" s="170"/>
    </row>
    <row r="49" spans="1:8" ht="14.4" x14ac:dyDescent="0.25">
      <c r="A49" s="47" t="str">
        <f t="shared" si="9"/>
        <v>MYN</v>
      </c>
      <c r="B49" s="48">
        <f>[23]Mode_PA_h_t_b0!B4</f>
        <v>268.13499999999999</v>
      </c>
      <c r="C49" s="50">
        <f>[23]Mode_PA_h_t_b0!C4</f>
        <v>187.71465171112101</v>
      </c>
      <c r="D49" s="50">
        <f>[23]Mode_PA_h_t_b0!D4</f>
        <v>348.55534105270402</v>
      </c>
      <c r="E49" s="50">
        <f>[23]Mode_PA_h_t_b0!E4</f>
        <v>30.734999999999999</v>
      </c>
      <c r="F49" s="75">
        <f>Table6[[#This Row],[Estimates]]-Table6[[#This Row],[2.5% CI]]</f>
        <v>80.420348288878984</v>
      </c>
      <c r="G49" s="67"/>
      <c r="H49" s="170"/>
    </row>
    <row r="50" spans="1:8" ht="14.4" x14ac:dyDescent="0.25">
      <c r="A50" s="47" t="str">
        <f t="shared" si="9"/>
        <v>MDQ</v>
      </c>
      <c r="B50" s="52">
        <f>[23]Mode_PA_h_t_b0!B5</f>
        <v>252.32</v>
      </c>
      <c r="C50" s="50">
        <f>[23]Mode_PA_h_t_b0!C5</f>
        <v>171.94632084485599</v>
      </c>
      <c r="D50" s="50">
        <f>[23]Mode_PA_h_t_b0!D5</f>
        <v>332.694222669618</v>
      </c>
      <c r="E50" s="50">
        <f>[23]Mode_PA_h_t_b0!E5</f>
        <v>30.795000000000002</v>
      </c>
      <c r="F50" s="75">
        <f>Table6[[#This Row],[Estimates]]-Table6[[#This Row],[2.5% CI]]</f>
        <v>80.373679155144004</v>
      </c>
      <c r="G50" s="67"/>
      <c r="H50" s="170"/>
    </row>
    <row r="51" spans="1:8" ht="14.4" x14ac:dyDescent="0.25">
      <c r="A51" s="47" t="str">
        <f t="shared" si="9"/>
        <v>L*H</v>
      </c>
      <c r="B51" s="48">
        <f>[23]Mode_PA_h_t_b0!B6</f>
        <v>268.214</v>
      </c>
      <c r="C51" s="50">
        <f>[23]Mode_PA_h_t_b0!C6</f>
        <v>187.773596811201</v>
      </c>
      <c r="D51" s="50">
        <f>[23]Mode_PA_h_t_b0!D6</f>
        <v>348.65534627868499</v>
      </c>
      <c r="E51" s="50">
        <f>[23]Mode_PA_h_t_b0!E6</f>
        <v>30.707999999999998</v>
      </c>
      <c r="F51" s="75">
        <f>Table6[[#This Row],[Estimates]]-Table6[[#This Row],[2.5% CI]]</f>
        <v>80.440403188798996</v>
      </c>
      <c r="G51" s="68"/>
      <c r="H51" s="170"/>
    </row>
    <row r="52" spans="1:8" ht="14.4" x14ac:dyDescent="0.25">
      <c r="A52" s="47" t="str">
        <f t="shared" si="9"/>
        <v>^[L*]H</v>
      </c>
      <c r="B52" s="48">
        <f>[23]Mode_PA_h_t_b0!B7</f>
        <v>218.333</v>
      </c>
      <c r="C52" s="50">
        <f>[23]Mode_PA_h_t_b0!C7</f>
        <v>137.65677546246101</v>
      </c>
      <c r="D52" s="50">
        <f>[23]Mode_PA_h_t_b0!D7</f>
        <v>299.008241273294</v>
      </c>
      <c r="E52" s="50">
        <f>[23]Mode_PA_h_t_b0!E7</f>
        <v>34.774000000000001</v>
      </c>
      <c r="F52" s="75">
        <f>Table6[[#This Row],[Estimates]]-Table6[[#This Row],[2.5% CI]]</f>
        <v>80.676224537538985</v>
      </c>
      <c r="G52" s="67"/>
      <c r="H52" s="170"/>
    </row>
    <row r="53" spans="1:8" ht="14.4" x14ac:dyDescent="0.25">
      <c r="A53" s="47" t="str">
        <f t="shared" si="9"/>
        <v>L*^[H]</v>
      </c>
      <c r="B53" s="48">
        <f>[23]Mode_PA_h_t_b0!B8</f>
        <v>267.35399999999998</v>
      </c>
      <c r="C53" s="50">
        <f>[23]Mode_PA_h_t_b0!C8</f>
        <v>187.31942554880899</v>
      </c>
      <c r="D53" s="50">
        <f>[23]Mode_PA_h_t_b0!D8</f>
        <v>347.387622512272</v>
      </c>
      <c r="E53" s="50">
        <f>[23]Mode_PA_h_t_b0!E8</f>
        <v>31.405000000000001</v>
      </c>
      <c r="F53" s="75">
        <f>Table6[[#This Row],[Estimates]]-Table6[[#This Row],[2.5% CI]]</f>
        <v>80.034574451190991</v>
      </c>
      <c r="G53" s="67"/>
      <c r="H53" s="170"/>
    </row>
    <row r="54" spans="1:8" ht="14.4" x14ac:dyDescent="0.25">
      <c r="A54" s="47" t="str">
        <f t="shared" si="9"/>
        <v>^[L*H]</v>
      </c>
      <c r="B54" s="52">
        <f>[23]Mode_PA_h_t_b0!B9</f>
        <v>267.60899999999998</v>
      </c>
      <c r="C54" s="55">
        <f>[23]Mode_PA_h_t_b0!C9</f>
        <v>187.45073907116199</v>
      </c>
      <c r="D54" s="55">
        <f>[23]Mode_PA_h_t_b0!D9</f>
        <v>347.76631608666497</v>
      </c>
      <c r="E54" s="55">
        <f>[23]Mode_PA_h_t_b0!E9</f>
        <v>31.145</v>
      </c>
      <c r="F54" s="77">
        <f>Table6[[#This Row],[Estimates]]-Table6[[#This Row],[2.5% CI]]</f>
        <v>80.15826092883799</v>
      </c>
      <c r="G54" s="67"/>
      <c r="H54" s="170"/>
    </row>
    <row r="56" spans="1:8" ht="29.4" x14ac:dyDescent="0.25">
      <c r="A56" s="1" t="s">
        <v>15</v>
      </c>
      <c r="B56" s="5"/>
      <c r="C56" s="4"/>
      <c r="D56" s="5"/>
      <c r="E56" s="5"/>
      <c r="F56" s="5"/>
      <c r="G56" s="5"/>
    </row>
    <row r="57" spans="1:8" ht="14.4" x14ac:dyDescent="0.25">
      <c r="A57" s="10" t="s">
        <v>0</v>
      </c>
      <c r="B57" s="6" t="s">
        <v>1</v>
      </c>
      <c r="C57" s="9" t="s">
        <v>10</v>
      </c>
      <c r="D57" s="9" t="s">
        <v>11</v>
      </c>
      <c r="E57" s="9" t="s">
        <v>7</v>
      </c>
      <c r="F57" s="9" t="s">
        <v>32</v>
      </c>
      <c r="G57" s="62"/>
    </row>
    <row r="58" spans="1:8" ht="14.4" x14ac:dyDescent="0.25">
      <c r="A58" s="47" t="str">
        <f t="shared" ref="A58:A65" si="10">A47</f>
        <v>MDC</v>
      </c>
      <c r="B58" s="49">
        <f>[13]Mode_PA_l_f0_b0!B2</f>
        <v>83.99</v>
      </c>
      <c r="C58" s="50">
        <f>[13]Mode_PA_l_f0_b0!C2</f>
        <v>80.453351074980304</v>
      </c>
      <c r="D58" s="50">
        <f>[13]Mode_PA_l_f0_b0!D2</f>
        <v>87.527230630068203</v>
      </c>
      <c r="E58" s="50">
        <f>[13]Mode_PA_l_f0_b0!E2</f>
        <v>1.623</v>
      </c>
      <c r="F58" s="51">
        <f>Table1[[#This Row],[Estimates]]-Table1[[#This Row],[2.5% CI]]</f>
        <v>3.5366489250196906</v>
      </c>
      <c r="G58" s="67"/>
    </row>
    <row r="59" spans="1:8" ht="14.4" x14ac:dyDescent="0.25">
      <c r="A59" s="47" t="str">
        <f t="shared" si="10"/>
        <v>MWH</v>
      </c>
      <c r="B59" s="49">
        <f>[13]Mode_PA_l_f0_b0!B3</f>
        <v>84.075999999999993</v>
      </c>
      <c r="C59" s="50">
        <f>[13]Mode_PA_l_f0_b0!C3</f>
        <v>80.539039447165607</v>
      </c>
      <c r="D59" s="50">
        <f>[13]Mode_PA_l_f0_b0!D3</f>
        <v>87.613137543283798</v>
      </c>
      <c r="E59" s="50">
        <f>[13]Mode_PA_l_f0_b0!E3</f>
        <v>1.623</v>
      </c>
      <c r="F59" s="50">
        <f>Table1[[#This Row],[Estimates]]-Table1[[#This Row],[2.5% CI]]</f>
        <v>3.5369605528343868</v>
      </c>
      <c r="G59" s="67"/>
    </row>
    <row r="60" spans="1:8" ht="14.4" x14ac:dyDescent="0.25">
      <c r="A60" s="47" t="str">
        <f t="shared" si="10"/>
        <v>MYN</v>
      </c>
      <c r="B60" s="49">
        <f>[13]Mode_PA_l_f0_b0!B4</f>
        <v>85.177999999999997</v>
      </c>
      <c r="C60" s="50">
        <f>[13]Mode_PA_l_f0_b0!C4</f>
        <v>81.639854239581595</v>
      </c>
      <c r="D60" s="50">
        <f>[13]Mode_PA_l_f0_b0!D4</f>
        <v>88.716349917043104</v>
      </c>
      <c r="E60" s="50">
        <f>[13]Mode_PA_l_f0_b0!E4</f>
        <v>1.6240000000000001</v>
      </c>
      <c r="F60" s="50">
        <f>Table1[[#This Row],[Estimates]]-Table1[[#This Row],[2.5% CI]]</f>
        <v>3.5381457604184021</v>
      </c>
      <c r="G60" s="67"/>
    </row>
    <row r="61" spans="1:8" ht="14.4" x14ac:dyDescent="0.25">
      <c r="A61" s="47" t="str">
        <f t="shared" si="10"/>
        <v>MDQ</v>
      </c>
      <c r="B61" s="53">
        <f>[13]Mode_PA_l_f0_b0!B5</f>
        <v>85.031999999999996</v>
      </c>
      <c r="C61" s="50">
        <f>[13]Mode_PA_l_f0_b0!C5</f>
        <v>81.489369407447299</v>
      </c>
      <c r="D61" s="50">
        <f>[13]Mode_PA_l_f0_b0!D5</f>
        <v>88.574801692886098</v>
      </c>
      <c r="E61" s="50">
        <f>[13]Mode_PA_l_f0_b0!E5</f>
        <v>1.6279999999999999</v>
      </c>
      <c r="F61" s="50">
        <f>Table1[[#This Row],[Estimates]]-Table1[[#This Row],[2.5% CI]]</f>
        <v>3.5426305925526975</v>
      </c>
      <c r="G61" s="67"/>
    </row>
    <row r="62" spans="1:8" ht="14.4" x14ac:dyDescent="0.25">
      <c r="A62" s="47" t="str">
        <f t="shared" si="10"/>
        <v>L*H</v>
      </c>
      <c r="B62" s="49">
        <f>[13]Mode_PA_l_f0_b0!B6</f>
        <v>83.99</v>
      </c>
      <c r="C62" s="50">
        <f>[13]Mode_PA_l_f0_b0!C6</f>
        <v>80.453351074980304</v>
      </c>
      <c r="D62" s="50">
        <f>[13]Mode_PA_l_f0_b0!D6</f>
        <v>87.527230630068203</v>
      </c>
      <c r="E62" s="50">
        <f>[13]Mode_PA_l_f0_b0!E6</f>
        <v>1.623</v>
      </c>
      <c r="F62" s="50">
        <f>Table1[[#This Row],[Estimates]]-Table1[[#This Row],[2.5% CI]]</f>
        <v>3.5366489250196906</v>
      </c>
      <c r="G62" s="67"/>
    </row>
    <row r="63" spans="1:8" ht="14.4" x14ac:dyDescent="0.25">
      <c r="A63" s="47" t="str">
        <f t="shared" si="10"/>
        <v>^[L*]H</v>
      </c>
      <c r="B63" s="49">
        <f>[13]Mode_PA_l_f0_b0!B7</f>
        <v>86.87</v>
      </c>
      <c r="C63" s="50">
        <f>[13]Mode_PA_l_f0_b0!C7</f>
        <v>83.113022861423701</v>
      </c>
      <c r="D63" s="50">
        <f>[13]Mode_PA_l_f0_b0!D7</f>
        <v>90.627605751172297</v>
      </c>
      <c r="E63" s="50">
        <f>[13]Mode_PA_l_f0_b0!E7</f>
        <v>1.7849999999999999</v>
      </c>
      <c r="F63" s="50">
        <f>Table1[[#This Row],[Estimates]]-Table1[[#This Row],[2.5% CI]]</f>
        <v>3.7569771385763033</v>
      </c>
      <c r="G63" s="67"/>
    </row>
    <row r="64" spans="1:8" ht="14.4" x14ac:dyDescent="0.25">
      <c r="A64" s="47" t="str">
        <f t="shared" si="10"/>
        <v>L*^[H]</v>
      </c>
      <c r="B64" s="49">
        <f>[13]Mode_PA_l_f0_b0!B8</f>
        <v>84.706999999999994</v>
      </c>
      <c r="C64" s="50">
        <f>[13]Mode_PA_l_f0_b0!C8</f>
        <v>81.133638575482294</v>
      </c>
      <c r="D64" s="50">
        <f>[13]Mode_PA_l_f0_b0!D8</f>
        <v>88.279591427499099</v>
      </c>
      <c r="E64" s="50">
        <f>[13]Mode_PA_l_f0_b0!E8</f>
        <v>1.6519999999999999</v>
      </c>
      <c r="F64" s="50">
        <f>Table1[[#This Row],[Estimates]]-Table1[[#This Row],[2.5% CI]]</f>
        <v>3.5733614245176994</v>
      </c>
      <c r="G64" s="67"/>
    </row>
    <row r="65" spans="1:7" ht="14.4" x14ac:dyDescent="0.25">
      <c r="A65" s="47" t="str">
        <f t="shared" si="10"/>
        <v>^[L*H]</v>
      </c>
      <c r="B65" s="53">
        <f>[13]Mode_PA_l_f0_b0!B9</f>
        <v>86.724000000000004</v>
      </c>
      <c r="C65" s="55">
        <f>[13]Mode_PA_l_f0_b0!C9</f>
        <v>83.164863235291506</v>
      </c>
      <c r="D65" s="55">
        <f>[13]Mode_PA_l_f0_b0!D9</f>
        <v>90.282187472808502</v>
      </c>
      <c r="E65" s="55">
        <f>[13]Mode_PA_l_f0_b0!E9</f>
        <v>1.641</v>
      </c>
      <c r="F65" s="55">
        <f>Table1[[#This Row],[Estimates]]-Table1[[#This Row],[2.5% CI]]</f>
        <v>3.5591367647084979</v>
      </c>
      <c r="G65" s="67"/>
    </row>
    <row r="66" spans="1:7" ht="14.4" x14ac:dyDescent="0.25">
      <c r="A66" s="73"/>
      <c r="B66" s="67"/>
      <c r="C66" s="56"/>
      <c r="D66" s="58"/>
      <c r="E66" s="59"/>
      <c r="F66" s="59"/>
      <c r="G66" s="59"/>
    </row>
    <row r="67" spans="1:7" ht="29.4" x14ac:dyDescent="0.25">
      <c r="A67" s="1" t="s">
        <v>16</v>
      </c>
      <c r="B67" s="3"/>
      <c r="C67" s="4"/>
      <c r="D67" s="63"/>
      <c r="E67" s="61"/>
      <c r="F67" s="61"/>
      <c r="G67" s="61"/>
    </row>
    <row r="68" spans="1:7" ht="14.4" x14ac:dyDescent="0.25">
      <c r="A68" s="2" t="s">
        <v>0</v>
      </c>
      <c r="B68" s="65" t="s">
        <v>1</v>
      </c>
      <c r="C68" s="64" t="s">
        <v>10</v>
      </c>
      <c r="D68" s="64" t="s">
        <v>11</v>
      </c>
      <c r="E68" s="64" t="s">
        <v>7</v>
      </c>
      <c r="F68" s="9" t="s">
        <v>32</v>
      </c>
      <c r="G68" s="62"/>
    </row>
    <row r="69" spans="1:7" ht="14.4" x14ac:dyDescent="0.25">
      <c r="A69" s="47" t="str">
        <f t="shared" ref="A69:A76" si="11">A36</f>
        <v>MDC</v>
      </c>
      <c r="B69" s="49">
        <f>[15]Mode_PA_h_f0_b0!B2</f>
        <v>90.16</v>
      </c>
      <c r="C69" s="50">
        <f>[15]Mode_PA_h_f0_b0!C2</f>
        <v>86.123043762318801</v>
      </c>
      <c r="D69" s="50">
        <f>[15]Mode_PA_h_f0_b0!D2</f>
        <v>94.197953690226399</v>
      </c>
      <c r="E69" s="50">
        <f>[15]Mode_PA_h_f0_b0!E2</f>
        <v>1.8029999999999999</v>
      </c>
      <c r="F69" s="51">
        <f>Table3[[#This Row],[Estimates]]-Table3[[#This Row],[2.5% CI]]</f>
        <v>4.0369562376811956</v>
      </c>
      <c r="G69" s="67"/>
    </row>
    <row r="70" spans="1:7" ht="14.4" x14ac:dyDescent="0.25">
      <c r="A70" s="47" t="str">
        <f t="shared" si="11"/>
        <v>MWH</v>
      </c>
      <c r="B70" s="49">
        <f>[15]Mode_PA_h_f0_b0!B3</f>
        <v>90.578000000000003</v>
      </c>
      <c r="C70" s="50">
        <f>[15]Mode_PA_h_f0_b0!C3</f>
        <v>86.540423250920597</v>
      </c>
      <c r="D70" s="50">
        <f>[15]Mode_PA_h_f0_b0!D3</f>
        <v>94.615525934098201</v>
      </c>
      <c r="E70" s="50">
        <f>[15]Mode_PA_h_f0_b0!E3</f>
        <v>1.8029999999999999</v>
      </c>
      <c r="F70" s="50">
        <f>Table3[[#This Row],[Estimates]]-Table3[[#This Row],[2.5% CI]]</f>
        <v>4.0375767490794061</v>
      </c>
      <c r="G70" s="67"/>
    </row>
    <row r="71" spans="1:7" ht="14.4" x14ac:dyDescent="0.25">
      <c r="A71" s="47" t="str">
        <f t="shared" si="11"/>
        <v>MYN</v>
      </c>
      <c r="B71" s="49">
        <f>[15]Mode_PA_h_f0_b0!B4</f>
        <v>91.29</v>
      </c>
      <c r="C71" s="50">
        <f>[15]Mode_PA_h_f0_b0!C4</f>
        <v>87.250257609612504</v>
      </c>
      <c r="D71" s="50">
        <f>[15]Mode_PA_h_f0_b0!D4</f>
        <v>95.329182144316803</v>
      </c>
      <c r="E71" s="50">
        <f>[15]Mode_PA_h_f0_b0!E4</f>
        <v>1.8049999999999999</v>
      </c>
      <c r="F71" s="50">
        <f>Table3[[#This Row],[Estimates]]-Table3[[#This Row],[2.5% CI]]</f>
        <v>4.0397423903875023</v>
      </c>
      <c r="G71" s="67"/>
    </row>
    <row r="72" spans="1:7" ht="14.4" x14ac:dyDescent="0.25">
      <c r="A72" s="47" t="str">
        <f t="shared" si="11"/>
        <v>MDQ</v>
      </c>
      <c r="B72" s="53">
        <f>[15]Mode_PA_h_f0_b0!B5</f>
        <v>92.46</v>
      </c>
      <c r="C72" s="50">
        <f>[15]Mode_PA_h_f0_b0!C5</f>
        <v>88.416665374418102</v>
      </c>
      <c r="D72" s="50">
        <f>[15]Mode_PA_h_f0_b0!D5</f>
        <v>96.504310766312699</v>
      </c>
      <c r="E72" s="50">
        <f>[15]Mode_PA_h_f0_b0!E5</f>
        <v>1.81</v>
      </c>
      <c r="F72" s="50">
        <f>Table3[[#This Row],[Estimates]]-Table3[[#This Row],[2.5% CI]]</f>
        <v>4.0433346255818918</v>
      </c>
      <c r="G72" s="67"/>
    </row>
    <row r="73" spans="1:7" ht="14.4" x14ac:dyDescent="0.25">
      <c r="A73" s="47" t="str">
        <f t="shared" si="11"/>
        <v>L*H</v>
      </c>
      <c r="B73" s="49">
        <f>[15]Mode_PA_h_f0_b0!B6</f>
        <v>90.16</v>
      </c>
      <c r="C73" s="50">
        <f>[15]Mode_PA_h_f0_b0!C6</f>
        <v>86.123043762318801</v>
      </c>
      <c r="D73" s="50">
        <f>[15]Mode_PA_h_f0_b0!D6</f>
        <v>94.197953690226399</v>
      </c>
      <c r="E73" s="50">
        <f>[15]Mode_PA_h_f0_b0!E6</f>
        <v>1.8029999999999999</v>
      </c>
      <c r="F73" s="50">
        <f>Table3[[#This Row],[Estimates]]-Table3[[#This Row],[2.5% CI]]</f>
        <v>4.0369562376811956</v>
      </c>
      <c r="G73" s="67"/>
    </row>
    <row r="74" spans="1:7" ht="14.4" x14ac:dyDescent="0.25">
      <c r="A74" s="47" t="str">
        <f t="shared" si="11"/>
        <v>^[L*]H</v>
      </c>
      <c r="B74" s="49">
        <f>[15]Mode_PA_h_f0_b0!B7</f>
        <v>89.887</v>
      </c>
      <c r="C74" s="50">
        <f>[15]Mode_PA_h_f0_b0!C7</f>
        <v>85.459720294364303</v>
      </c>
      <c r="D74" s="50">
        <f>[15]Mode_PA_h_f0_b0!D7</f>
        <v>94.315126046853607</v>
      </c>
      <c r="E74" s="50">
        <f>[15]Mode_PA_h_f0_b0!E7</f>
        <v>2.1070000000000002</v>
      </c>
      <c r="F74" s="50">
        <f>Table3[[#This Row],[Estimates]]-Table3[[#This Row],[2.5% CI]]</f>
        <v>4.4272797056356978</v>
      </c>
      <c r="G74" s="67"/>
    </row>
    <row r="75" spans="1:7" ht="14.4" x14ac:dyDescent="0.25">
      <c r="A75" s="47" t="str">
        <f t="shared" si="11"/>
        <v>L*^[H]</v>
      </c>
      <c r="B75" s="49">
        <f>[15]Mode_PA_h_f0_b0!B8</f>
        <v>93.736999999999995</v>
      </c>
      <c r="C75" s="50">
        <f>[15]Mode_PA_h_f0_b0!C8</f>
        <v>89.644799114240996</v>
      </c>
      <c r="D75" s="50">
        <f>[15]Mode_PA_h_f0_b0!D8</f>
        <v>97.829742285346597</v>
      </c>
      <c r="E75" s="50">
        <f>[15]Mode_PA_h_f0_b0!E8</f>
        <v>1.8560000000000001</v>
      </c>
      <c r="F75" s="50">
        <f>Table3[[#This Row],[Estimates]]-Table3[[#This Row],[2.5% CI]]</f>
        <v>4.0922008857589987</v>
      </c>
      <c r="G75" s="67"/>
    </row>
    <row r="76" spans="1:7" ht="14.4" x14ac:dyDescent="0.25">
      <c r="A76" s="47" t="str">
        <f t="shared" si="11"/>
        <v>^[L*H]</v>
      </c>
      <c r="B76" s="53">
        <f>[15]Mode_PA_h_f0_b0!B9</f>
        <v>93.728999999999999</v>
      </c>
      <c r="C76" s="55">
        <f>[15]Mode_PA_h_f0_b0!C9</f>
        <v>89.656987791724603</v>
      </c>
      <c r="D76" s="55">
        <f>[15]Mode_PA_h_f0_b0!D9</f>
        <v>97.800438498133602</v>
      </c>
      <c r="E76" s="55">
        <f>[15]Mode_PA_h_f0_b0!E9</f>
        <v>1.8360000000000001</v>
      </c>
      <c r="F76" s="55">
        <f>Table3[[#This Row],[Estimates]]-Table3[[#This Row],[2.5% CI]]</f>
        <v>4.072012208275396</v>
      </c>
      <c r="G76" s="67"/>
    </row>
    <row r="78" spans="1:7" ht="25.8" x14ac:dyDescent="0.25">
      <c r="A78" s="61" t="s">
        <v>9</v>
      </c>
      <c r="B78" s="5"/>
      <c r="C78" s="5"/>
      <c r="D78" s="61"/>
      <c r="E78" s="4"/>
      <c r="F78" s="61"/>
    </row>
    <row r="79" spans="1:7" ht="14.4" x14ac:dyDescent="0.25">
      <c r="A79" s="2" t="s">
        <v>0</v>
      </c>
      <c r="B79" s="7" t="s">
        <v>1</v>
      </c>
      <c r="C79" s="9" t="s">
        <v>10</v>
      </c>
      <c r="D79" s="9" t="s">
        <v>11</v>
      </c>
      <c r="E79" s="11" t="s">
        <v>7</v>
      </c>
      <c r="F79" s="9" t="s">
        <v>32</v>
      </c>
    </row>
    <row r="80" spans="1:7" ht="14.4" x14ac:dyDescent="0.25">
      <c r="A80" s="47" t="str">
        <f t="shared" ref="A80:A87" si="12">A69</f>
        <v>MDC</v>
      </c>
      <c r="B80" s="49">
        <f>[17]Mode_PA_f0_exc_b0!B2</f>
        <v>5.9409999999999998</v>
      </c>
      <c r="C80" s="49">
        <f>[17]Mode_PA_f0_exc_b0!C2</f>
        <v>4.9701290775966802</v>
      </c>
      <c r="D80" s="49">
        <f>[17]Mode_PA_f0_exc_b0!D2</f>
        <v>6.9117110854203503</v>
      </c>
      <c r="E80" s="49">
        <f>[17]Mode_PA_f0_exc_b0!E2</f>
        <v>0.434</v>
      </c>
      <c r="F80" s="51">
        <f>Table4[[#This Row],[Estimates]]-Table4[[#This Row],[2.5% CI]]</f>
        <v>0.97087092240331963</v>
      </c>
    </row>
    <row r="81" spans="1:6" ht="14.4" x14ac:dyDescent="0.25">
      <c r="A81" s="47" t="str">
        <f t="shared" si="12"/>
        <v>MWH</v>
      </c>
      <c r="B81" s="49">
        <f>[17]Mode_PA_f0_exc_b0!B3</f>
        <v>6.1369999999999996</v>
      </c>
      <c r="C81" s="49">
        <f>[17]Mode_PA_f0_exc_b0!C3</f>
        <v>5.1662705164212399</v>
      </c>
      <c r="D81" s="49">
        <f>[17]Mode_PA_f0_exc_b0!D3</f>
        <v>7.1086712077594196</v>
      </c>
      <c r="E81" s="49">
        <f>[17]Mode_PA_f0_exc_b0!E3</f>
        <v>0.435</v>
      </c>
      <c r="F81" s="50">
        <f>Table4[[#This Row],[Estimates]]-Table4[[#This Row],[2.5% CI]]</f>
        <v>0.97072948357875966</v>
      </c>
    </row>
    <row r="82" spans="1:6" ht="14.4" x14ac:dyDescent="0.25">
      <c r="A82" s="47" t="str">
        <f t="shared" si="12"/>
        <v>MYN</v>
      </c>
      <c r="B82" s="49">
        <f>[17]Mode_PA_f0_exc_b0!B4</f>
        <v>5.84</v>
      </c>
      <c r="C82" s="49">
        <f>[17]Mode_PA_f0_exc_b0!C4</f>
        <v>4.8643674037874698</v>
      </c>
      <c r="D82" s="49">
        <f>[17]Mode_PA_f0_exc_b0!D4</f>
        <v>6.8152749279039302</v>
      </c>
      <c r="E82" s="49">
        <f>[17]Mode_PA_f0_exc_b0!E4</f>
        <v>0.439</v>
      </c>
      <c r="F82" s="50">
        <f>Table4[[#This Row],[Estimates]]-Table4[[#This Row],[2.5% CI]]</f>
        <v>0.97563259621253007</v>
      </c>
    </row>
    <row r="83" spans="1:6" ht="14.4" x14ac:dyDescent="0.25">
      <c r="A83" s="47" t="str">
        <f t="shared" si="12"/>
        <v>MDQ</v>
      </c>
      <c r="B83" s="49">
        <f>[17]Mode_PA_f0_exc_b0!B5</f>
        <v>6.8959999999999999</v>
      </c>
      <c r="C83" s="49">
        <f>[17]Mode_PA_f0_exc_b0!C5</f>
        <v>5.9103578334988898</v>
      </c>
      <c r="D83" s="49">
        <f>[17]Mode_PA_f0_exc_b0!D5</f>
        <v>7.8811496303687498</v>
      </c>
      <c r="E83" s="49">
        <f>[17]Mode_PA_f0_exc_b0!E5</f>
        <v>0.45100000000000001</v>
      </c>
      <c r="F83" s="50">
        <f>Table4[[#This Row],[Estimates]]-Table4[[#This Row],[2.5% CI]]</f>
        <v>0.98564216650111014</v>
      </c>
    </row>
    <row r="84" spans="1:6" ht="14.4" x14ac:dyDescent="0.25">
      <c r="A84" s="47" t="str">
        <f t="shared" si="12"/>
        <v>L*H</v>
      </c>
      <c r="B84" s="49">
        <f>[17]Mode_PA_f0_exc_b0!B6</f>
        <v>5.9409999999999998</v>
      </c>
      <c r="C84" s="49">
        <f>[17]Mode_PA_f0_exc_b0!C6</f>
        <v>4.9701290775966802</v>
      </c>
      <c r="D84" s="49">
        <f>[17]Mode_PA_f0_exc_b0!D6</f>
        <v>6.9117110854203503</v>
      </c>
      <c r="E84" s="49">
        <f>[17]Mode_PA_f0_exc_b0!E6</f>
        <v>0.434</v>
      </c>
      <c r="F84" s="50">
        <f>Table4[[#This Row],[Estimates]]-Table4[[#This Row],[2.5% CI]]</f>
        <v>0.97087092240331963</v>
      </c>
    </row>
    <row r="85" spans="1:6" ht="14.4" x14ac:dyDescent="0.25">
      <c r="A85" s="47" t="str">
        <f t="shared" si="12"/>
        <v>^[L*]H</v>
      </c>
      <c r="B85" s="49">
        <f>[17]Mode_PA_f0_exc_b0!B7</f>
        <v>3.109</v>
      </c>
      <c r="C85" s="49">
        <f>[17]Mode_PA_f0_exc_b0!C7</f>
        <v>1.2990504532998901</v>
      </c>
      <c r="D85" s="49">
        <f>[17]Mode_PA_f0_exc_b0!D7</f>
        <v>4.9197334909255002</v>
      </c>
      <c r="E85" s="49">
        <f>[17]Mode_PA_f0_exc_b0!E7</f>
        <v>0.91600000000000004</v>
      </c>
      <c r="F85" s="50">
        <f>Table4[[#This Row],[Estimates]]-Table4[[#This Row],[2.5% CI]]</f>
        <v>1.8099495467001099</v>
      </c>
    </row>
    <row r="86" spans="1:6" ht="14.4" x14ac:dyDescent="0.25">
      <c r="A86" s="47" t="str">
        <f t="shared" si="12"/>
        <v>L*^[H]</v>
      </c>
      <c r="B86" s="49">
        <f>[17]Mode_PA_f0_exc_b0!B8</f>
        <v>9.5719999999999992</v>
      </c>
      <c r="C86" s="49">
        <f>[17]Mode_PA_f0_exc_b0!C8</f>
        <v>8.4512821469364905</v>
      </c>
      <c r="D86" s="49">
        <f>[17]Mode_PA_f0_exc_b0!D8</f>
        <v>10.6929057207031</v>
      </c>
      <c r="E86" s="49">
        <f>[17]Mode_PA_f0_exc_b0!E8</f>
        <v>0.54200000000000004</v>
      </c>
      <c r="F86" s="50">
        <f>Table4[[#This Row],[Estimates]]-Table4[[#This Row],[2.5% CI]]</f>
        <v>1.1207178530635087</v>
      </c>
    </row>
    <row r="87" spans="1:6" ht="14.4" x14ac:dyDescent="0.25">
      <c r="A87" s="47" t="str">
        <f t="shared" si="12"/>
        <v>^[L*H]</v>
      </c>
      <c r="B87" s="49">
        <f>[17]Mode_PA_f0_exc_b0!B9</f>
        <v>7.1260000000000003</v>
      </c>
      <c r="C87" s="49">
        <f>[17]Mode_PA_f0_exc_b0!C9</f>
        <v>6.06316911845225</v>
      </c>
      <c r="D87" s="49">
        <f>[17]Mode_PA_f0_exc_b0!D9</f>
        <v>8.1884453102606294</v>
      </c>
      <c r="E87" s="49">
        <f>[17]Mode_PA_f0_exc_b0!E9</f>
        <v>0.505</v>
      </c>
      <c r="F87" s="55">
        <f>Table4[[#This Row],[Estimates]]-Table4[[#This Row],[2.5% CI]]</f>
        <v>1.0628308815477503</v>
      </c>
    </row>
    <row r="88" spans="1:6" ht="14.4" x14ac:dyDescent="0.25">
      <c r="A88" s="73"/>
      <c r="B88" s="73"/>
      <c r="C88" s="73"/>
      <c r="D88" s="67"/>
      <c r="E88" s="56"/>
      <c r="F88" s="58"/>
    </row>
    <row r="89" spans="1:6" ht="25.8" x14ac:dyDescent="0.25">
      <c r="A89" s="1" t="s">
        <v>17</v>
      </c>
      <c r="B89" s="5"/>
      <c r="C89" s="5"/>
      <c r="D89" s="1"/>
      <c r="E89" s="4"/>
      <c r="F89" s="1"/>
    </row>
    <row r="90" spans="1:6" ht="14.4" x14ac:dyDescent="0.25">
      <c r="A90" s="2" t="s">
        <v>0</v>
      </c>
      <c r="B90" s="6" t="s">
        <v>1</v>
      </c>
      <c r="C90" s="9" t="s">
        <v>10</v>
      </c>
      <c r="D90" s="9" t="s">
        <v>11</v>
      </c>
      <c r="E90" s="9" t="s">
        <v>7</v>
      </c>
      <c r="F90" s="9" t="s">
        <v>32</v>
      </c>
    </row>
    <row r="91" spans="1:6" ht="14.4" x14ac:dyDescent="0.25">
      <c r="A91" s="47" t="str">
        <f t="shared" ref="A91:A98" si="13">A36</f>
        <v>MDC</v>
      </c>
      <c r="B91" s="49">
        <f>[25]Mode_PA_lh_slope_b0!B2</f>
        <v>34.866999999999997</v>
      </c>
      <c r="C91" s="50">
        <f>[25]Mode_PA_lh_slope_b0!C2</f>
        <v>19.4382826262501</v>
      </c>
      <c r="D91" s="50">
        <f>[25]Mode_PA_lh_slope_b0!D2</f>
        <v>50.295027165882203</v>
      </c>
      <c r="E91" s="50">
        <f>[25]Mode_PA_lh_slope_b0!E2</f>
        <v>5.1239999999999997</v>
      </c>
      <c r="F91" s="72">
        <f>Table7[[#This Row],[Estimates]]-Table7[[#This Row],[2.5% CI]]</f>
        <v>15.428717373749897</v>
      </c>
    </row>
    <row r="92" spans="1:6" ht="14.4" x14ac:dyDescent="0.25">
      <c r="A92" s="47" t="str">
        <f t="shared" si="13"/>
        <v>MWH</v>
      </c>
      <c r="B92" s="49">
        <f>[25]Mode_PA_lh_slope_b0!B3</f>
        <v>36.759</v>
      </c>
      <c r="C92" s="50">
        <f>[25]Mode_PA_lh_slope_b0!C3</f>
        <v>21.3325029798274</v>
      </c>
      <c r="D92" s="50">
        <f>[25]Mode_PA_lh_slope_b0!D3</f>
        <v>52.184601810676398</v>
      </c>
      <c r="E92" s="50">
        <f>[25]Mode_PA_lh_slope_b0!E3</f>
        <v>5.1239999999999997</v>
      </c>
      <c r="F92" s="76">
        <f>Table7[[#This Row],[Estimates]]-Table7[[#This Row],[2.5% CI]]</f>
        <v>15.426497020172601</v>
      </c>
    </row>
    <row r="93" spans="1:6" ht="14.4" x14ac:dyDescent="0.25">
      <c r="A93" s="47" t="str">
        <f t="shared" si="13"/>
        <v>MYN</v>
      </c>
      <c r="B93" s="49">
        <f>[25]Mode_PA_lh_slope_b0!B4</f>
        <v>35.253999999999998</v>
      </c>
      <c r="C93" s="50">
        <f>[25]Mode_PA_lh_slope_b0!C4</f>
        <v>19.866728911862801</v>
      </c>
      <c r="D93" s="50">
        <f>[25]Mode_PA_lh_slope_b0!D4</f>
        <v>50.640272439518597</v>
      </c>
      <c r="E93" s="50">
        <f>[25]Mode_PA_lh_slope_b0!E4</f>
        <v>5.1379999999999999</v>
      </c>
      <c r="F93" s="76">
        <f>Table7[[#This Row],[Estimates]]-Table7[[#This Row],[2.5% CI]]</f>
        <v>15.387271088137197</v>
      </c>
    </row>
    <row r="94" spans="1:6" ht="14.4" x14ac:dyDescent="0.25">
      <c r="A94" s="47" t="str">
        <f t="shared" si="13"/>
        <v>MDQ</v>
      </c>
      <c r="B94" s="53">
        <f>[25]Mode_PA_lh_slope_b0!B5</f>
        <v>40.253</v>
      </c>
      <c r="C94" s="50">
        <f>[25]Mode_PA_lh_slope_b0!C5</f>
        <v>24.9750181521851</v>
      </c>
      <c r="D94" s="50">
        <f>[25]Mode_PA_lh_slope_b0!D5</f>
        <v>55.531194866184798</v>
      </c>
      <c r="E94" s="50">
        <f>[25]Mode_PA_lh_slope_b0!E5</f>
        <v>5.1769999999999996</v>
      </c>
      <c r="F94" s="76">
        <f>Table7[[#This Row],[Estimates]]-Table7[[#This Row],[2.5% CI]]</f>
        <v>15.2779818478149</v>
      </c>
    </row>
    <row r="95" spans="1:6" ht="14.4" x14ac:dyDescent="0.25">
      <c r="A95" s="47" t="str">
        <f t="shared" si="13"/>
        <v>L*H</v>
      </c>
      <c r="B95" s="53">
        <f>[25]Mode_PA_lh_slope_b0!B6</f>
        <v>34.866999999999997</v>
      </c>
      <c r="C95" s="50">
        <f>[25]Mode_PA_lh_slope_b0!C6</f>
        <v>19.4382826262501</v>
      </c>
      <c r="D95" s="50">
        <f>[25]Mode_PA_lh_slope_b0!D6</f>
        <v>50.295027165882203</v>
      </c>
      <c r="E95" s="50">
        <f>[25]Mode_PA_lh_slope_b0!E6</f>
        <v>5.1239999999999997</v>
      </c>
      <c r="F95" s="76">
        <f>Table7[[#This Row],[Estimates]]-Table7[[#This Row],[2.5% CI]]</f>
        <v>15.428717373749897</v>
      </c>
    </row>
    <row r="96" spans="1:6" ht="14.4" x14ac:dyDescent="0.25">
      <c r="A96" s="47" t="str">
        <f t="shared" si="13"/>
        <v>^[L*]H</v>
      </c>
      <c r="B96" s="53">
        <f>[25]Mode_PA_lh_slope_b0!B7</f>
        <v>22.114999999999998</v>
      </c>
      <c r="C96" s="50">
        <f>[25]Mode_PA_lh_slope_b0!C7</f>
        <v>6.7480699939542497</v>
      </c>
      <c r="D96" s="50">
        <f>[25]Mode_PA_lh_slope_b0!D7</f>
        <v>37.482070493688099</v>
      </c>
      <c r="E96" s="50">
        <f>[25]Mode_PA_lh_slope_b0!E7</f>
        <v>7.0389999999999997</v>
      </c>
      <c r="F96" s="76">
        <f>Table7[[#This Row],[Estimates]]-Table7[[#This Row],[2.5% CI]]</f>
        <v>15.366930006045749</v>
      </c>
    </row>
    <row r="97" spans="1:6" ht="14.4" x14ac:dyDescent="0.25">
      <c r="A97" s="47" t="str">
        <f t="shared" si="13"/>
        <v>L*^[H]</v>
      </c>
      <c r="B97" s="53">
        <f>[25]Mode_PA_lh_slope_b0!B8</f>
        <v>53.122999999999998</v>
      </c>
      <c r="C97" s="50">
        <f>[25]Mode_PA_lh_slope_b0!C8</f>
        <v>38.391215705540098</v>
      </c>
      <c r="D97" s="50">
        <f>[25]Mode_PA_lh_slope_b0!D8</f>
        <v>67.855146691603295</v>
      </c>
      <c r="E97" s="50">
        <f>[25]Mode_PA_lh_slope_b0!E8</f>
        <v>5.484</v>
      </c>
      <c r="F97" s="76">
        <f>Table7[[#This Row],[Estimates]]-Table7[[#This Row],[2.5% CI]]</f>
        <v>14.731784294459899</v>
      </c>
    </row>
    <row r="98" spans="1:6" ht="14.4" x14ac:dyDescent="0.25">
      <c r="A98" s="47" t="str">
        <f t="shared" si="13"/>
        <v>^[L*H]</v>
      </c>
      <c r="B98" s="53">
        <f>[25]Mode_PA_lh_slope_b0!B9</f>
        <v>39.985999999999997</v>
      </c>
      <c r="C98" s="50">
        <f>[25]Mode_PA_lh_slope_b0!C9</f>
        <v>25.0674426434616</v>
      </c>
      <c r="D98" s="50">
        <f>[25]Mode_PA_lh_slope_b0!D9</f>
        <v>54.905062194502001</v>
      </c>
      <c r="E98" s="50">
        <f>[25]Mode_PA_lh_slope_b0!E9</f>
        <v>5.3490000000000002</v>
      </c>
      <c r="F98" s="76">
        <f>Table7[[#This Row],[Estimates]]-Table7[[#This Row],[2.5% CI]]</f>
        <v>14.918557356538397</v>
      </c>
    </row>
    <row r="100" spans="1:6" ht="25.8" x14ac:dyDescent="0.25">
      <c r="A100" s="1" t="s">
        <v>106</v>
      </c>
      <c r="B100" s="5"/>
      <c r="C100" s="5"/>
      <c r="D100" s="1"/>
      <c r="E100" s="4"/>
      <c r="F100" s="1"/>
    </row>
    <row r="101" spans="1:6" ht="14.4" x14ac:dyDescent="0.25">
      <c r="A101" s="2" t="s">
        <v>0</v>
      </c>
      <c r="B101" s="6" t="s">
        <v>1</v>
      </c>
      <c r="C101" s="9" t="s">
        <v>10</v>
      </c>
      <c r="D101" s="9" t="s">
        <v>11</v>
      </c>
      <c r="E101" s="9" t="s">
        <v>7</v>
      </c>
      <c r="F101" s="9" t="s">
        <v>32</v>
      </c>
    </row>
    <row r="102" spans="1:6" ht="14.4" x14ac:dyDescent="0.25">
      <c r="A102" s="47" t="str">
        <f t="shared" ref="A102:A109" si="14">A91</f>
        <v>MDC</v>
      </c>
      <c r="B102" s="49">
        <f>[19]Mode_PA_lh_mean_f0_b0!B2</f>
        <v>86.733999999999995</v>
      </c>
      <c r="C102" s="50">
        <f>[19]Mode_PA_lh_mean_f0_b0!C2</f>
        <v>83.197141294763696</v>
      </c>
      <c r="D102" s="50">
        <f>[19]Mode_PA_lh_mean_f0_b0!D2</f>
        <v>90.271041269368197</v>
      </c>
      <c r="E102" s="50">
        <f>[19]Mode_PA_lh_mean_f0_b0!E2</f>
        <v>1.6220000000000001</v>
      </c>
      <c r="F102" s="72">
        <f>Table713[[#This Row],[Estimates]]-Table713[[#This Row],[2.5% CI]]</f>
        <v>3.5368587052362983</v>
      </c>
    </row>
    <row r="103" spans="1:6" ht="14.4" x14ac:dyDescent="0.25">
      <c r="A103" s="47" t="str">
        <f t="shared" si="14"/>
        <v>MWH</v>
      </c>
      <c r="B103" s="49">
        <f>[19]Mode_PA_lh_mean_f0_b0!B3</f>
        <v>87.033000000000001</v>
      </c>
      <c r="C103" s="50">
        <f>[19]Mode_PA_lh_mean_f0_b0!C3</f>
        <v>83.495692635779406</v>
      </c>
      <c r="D103" s="50">
        <f>[19]Mode_PA_lh_mean_f0_b0!D3</f>
        <v>90.569758221227403</v>
      </c>
      <c r="E103" s="50">
        <f>[19]Mode_PA_lh_mean_f0_b0!E3</f>
        <v>1.6220000000000001</v>
      </c>
      <c r="F103" s="76">
        <f>Table713[[#This Row],[Estimates]]-Table713[[#This Row],[2.5% CI]]</f>
        <v>3.5373073642205952</v>
      </c>
    </row>
    <row r="104" spans="1:6" ht="14.4" x14ac:dyDescent="0.25">
      <c r="A104" s="47" t="str">
        <f t="shared" si="14"/>
        <v>MYN</v>
      </c>
      <c r="B104" s="49">
        <f>[19]Mode_PA_lh_mean_f0_b0!B4</f>
        <v>88.046000000000006</v>
      </c>
      <c r="C104" s="50">
        <f>[19]Mode_PA_lh_mean_f0_b0!C4</f>
        <v>84.507017589691699</v>
      </c>
      <c r="D104" s="50">
        <f>[19]Mode_PA_lh_mean_f0_b0!D4</f>
        <v>91.584112462550905</v>
      </c>
      <c r="E104" s="50">
        <f>[19]Mode_PA_lh_mean_f0_b0!E4</f>
        <v>1.6240000000000001</v>
      </c>
      <c r="F104" s="76">
        <f>Table713[[#This Row],[Estimates]]-Table713[[#This Row],[2.5% CI]]</f>
        <v>3.5389824103083072</v>
      </c>
    </row>
    <row r="105" spans="1:6" ht="14.4" x14ac:dyDescent="0.25">
      <c r="A105" s="47" t="str">
        <f t="shared" si="14"/>
        <v>MDQ</v>
      </c>
      <c r="B105" s="53">
        <f>[19]Mode_PA_lh_mean_f0_b0!B5</f>
        <v>88.299000000000007</v>
      </c>
      <c r="C105" s="50">
        <f>[19]Mode_PA_lh_mean_f0_b0!C5</f>
        <v>84.755079616203005</v>
      </c>
      <c r="D105" s="50">
        <f>[19]Mode_PA_lh_mean_f0_b0!D5</f>
        <v>91.842473483418502</v>
      </c>
      <c r="E105" s="50">
        <f>[19]Mode_PA_lh_mean_f0_b0!E5</f>
        <v>1.6279999999999999</v>
      </c>
      <c r="F105" s="76">
        <f>Table713[[#This Row],[Estimates]]-Table713[[#This Row],[2.5% CI]]</f>
        <v>3.5439203837970013</v>
      </c>
    </row>
    <row r="106" spans="1:6" ht="14.4" x14ac:dyDescent="0.25">
      <c r="A106" s="47" t="str">
        <f t="shared" si="14"/>
        <v>L*H</v>
      </c>
      <c r="B106" s="53">
        <f>[19]Mode_PA_lh_mean_f0_b0!B6</f>
        <v>86.733999999999995</v>
      </c>
      <c r="C106" s="50">
        <f>[19]Mode_PA_lh_mean_f0_b0!C6</f>
        <v>83.197141294763696</v>
      </c>
      <c r="D106" s="50">
        <f>[19]Mode_PA_lh_mean_f0_b0!D6</f>
        <v>90.271041269368197</v>
      </c>
      <c r="E106" s="50">
        <f>[19]Mode_PA_lh_mean_f0_b0!E6</f>
        <v>1.6220000000000001</v>
      </c>
      <c r="F106" s="76">
        <f>Table713[[#This Row],[Estimates]]-Table713[[#This Row],[2.5% CI]]</f>
        <v>3.5368587052362983</v>
      </c>
    </row>
    <row r="107" spans="1:6" ht="14.4" x14ac:dyDescent="0.25">
      <c r="A107" s="47" t="str">
        <f t="shared" si="14"/>
        <v>^[L*]H</v>
      </c>
      <c r="B107" s="53">
        <f>[19]Mode_PA_lh_mean_f0_b0!B7</f>
        <v>87.731999999999999</v>
      </c>
      <c r="C107" s="50">
        <f>[19]Mode_PA_lh_mean_f0_b0!C7</f>
        <v>83.923166832717001</v>
      </c>
      <c r="D107" s="50">
        <f>[19]Mode_PA_lh_mean_f0_b0!D7</f>
        <v>91.541362826281002</v>
      </c>
      <c r="E107" s="50">
        <f>[19]Mode_PA_lh_mean_f0_b0!E7</f>
        <v>1.819</v>
      </c>
      <c r="F107" s="76">
        <f>Table713[[#This Row],[Estimates]]-Table713[[#This Row],[2.5% CI]]</f>
        <v>3.808833167282998</v>
      </c>
    </row>
    <row r="108" spans="1:6" ht="14.4" x14ac:dyDescent="0.25">
      <c r="A108" s="47" t="str">
        <f t="shared" si="14"/>
        <v>L*^[H]</v>
      </c>
      <c r="B108" s="53">
        <f>[19]Mode_PA_lh_mean_f0_b0!B8</f>
        <v>88.947000000000003</v>
      </c>
      <c r="C108" s="50">
        <f>[19]Mode_PA_lh_mean_f0_b0!C8</f>
        <v>85.365027404622893</v>
      </c>
      <c r="D108" s="50">
        <f>[19]Mode_PA_lh_mean_f0_b0!D8</f>
        <v>92.528569885213599</v>
      </c>
      <c r="E108" s="50">
        <f>[19]Mode_PA_lh_mean_f0_b0!E8</f>
        <v>1.6579999999999999</v>
      </c>
      <c r="F108" s="76">
        <f>Table713[[#This Row],[Estimates]]-Table713[[#This Row],[2.5% CI]]</f>
        <v>3.5819725953771098</v>
      </c>
    </row>
    <row r="109" spans="1:6" ht="14.4" x14ac:dyDescent="0.25">
      <c r="A109" s="47" t="str">
        <f t="shared" si="14"/>
        <v>^[L*H]</v>
      </c>
      <c r="B109" s="53">
        <f>[19]Mode_PA_lh_mean_f0_b0!B9</f>
        <v>89.912999999999997</v>
      </c>
      <c r="C109" s="50">
        <f>[19]Mode_PA_lh_mean_f0_b0!C9</f>
        <v>86.349782420079507</v>
      </c>
      <c r="D109" s="50">
        <f>[19]Mode_PA_lh_mean_f0_b0!D9</f>
        <v>93.476172760586294</v>
      </c>
      <c r="E109" s="50">
        <f>[19]Mode_PA_lh_mean_f0_b0!E9</f>
        <v>1.6439999999999999</v>
      </c>
      <c r="F109" s="76">
        <f>Table713[[#This Row],[Estimates]]-Table713[[#This Row],[2.5% CI]]</f>
        <v>3.5632175799204902</v>
      </c>
    </row>
  </sheetData>
  <phoneticPr fontId="45" type="noConversion"/>
  <conditionalFormatting sqref="H2:I4 H6:I8 H10:I12 H14:I14 H16:I16 H18:I20 H22:I24 H26:I28 H30:I32">
    <cfRule type="cellIs" dxfId="243" priority="42" stopIfTrue="1" operator="lessThan">
      <formula>0.0001</formula>
    </cfRule>
    <cfRule type="cellIs" dxfId="242" priority="43" stopIfTrue="1" operator="lessThan">
      <formula>0.001</formula>
    </cfRule>
    <cfRule type="cellIs" dxfId="241" priority="44" stopIfTrue="1" operator="lessThan">
      <formula>0.05</formula>
    </cfRule>
    <cfRule type="cellIs" dxfId="240" priority="45" stopIfTrue="1" operator="lessThan">
      <formula>0.1</formula>
    </cfRule>
  </conditionalFormatting>
  <conditionalFormatting sqref="J2:J4 J6:J8 J10:J12 J14:J16 J18:J20 J22:J24 J26:J28 J30:J32">
    <cfRule type="containsText" dxfId="239" priority="33" stopIfTrue="1" operator="containsText" text="p&lt;0.0001">
      <formula>NOT(ISERROR(SEARCH("p&lt;0.0001",J2)))</formula>
    </cfRule>
    <cfRule type="containsText" dxfId="238" priority="38" stopIfTrue="1" operator="containsText" text="p&lt;0.001">
      <formula>NOT(ISERROR(SEARCH("p&lt;0.001",J2)))</formula>
    </cfRule>
    <cfRule type="containsText" dxfId="237" priority="39" stopIfTrue="1" operator="containsText" text="p&lt;0.01">
      <formula>NOT(ISERROR(SEARCH("p&lt;0.01",J2)))</formula>
    </cfRule>
    <cfRule type="containsText" dxfId="236" priority="40" stopIfTrue="1" operator="containsText" text="p&lt;0.05">
      <formula>NOT(ISERROR(SEARCH("p&lt;0.05",J2)))</formula>
    </cfRule>
    <cfRule type="containsText" dxfId="235" priority="41" stopIfTrue="1" operator="containsText" text="p&lt;0.1">
      <formula>NOT(ISERROR(SEARCH("p&lt;0.1",J2)))</formula>
    </cfRule>
  </conditionalFormatting>
  <conditionalFormatting sqref="I15">
    <cfRule type="cellIs" dxfId="234" priority="34" stopIfTrue="1" operator="lessThan">
      <formula>0.0001</formula>
    </cfRule>
    <cfRule type="cellIs" dxfId="233" priority="35" stopIfTrue="1" operator="lessThan">
      <formula>0.001</formula>
    </cfRule>
    <cfRule type="cellIs" dxfId="232" priority="36" stopIfTrue="1" operator="lessThan">
      <formula>0.05</formula>
    </cfRule>
    <cfRule type="cellIs" dxfId="231" priority="37" stopIfTrue="1" operator="lessThan">
      <formula>0.1</formula>
    </cfRule>
  </conditionalFormatting>
  <conditionalFormatting sqref="H5:I5 H13:I13 H21:I21 H29:I29">
    <cfRule type="cellIs" dxfId="230" priority="29" stopIfTrue="1" operator="lessThan">
      <formula>0.0001</formula>
    </cfRule>
    <cfRule type="cellIs" dxfId="229" priority="30" stopIfTrue="1" operator="lessThan">
      <formula>0.001</formula>
    </cfRule>
    <cfRule type="cellIs" dxfId="228" priority="31" stopIfTrue="1" operator="lessThan">
      <formula>0.05</formula>
    </cfRule>
    <cfRule type="cellIs" dxfId="227" priority="32" stopIfTrue="1" operator="lessThan">
      <formula>0.1</formula>
    </cfRule>
  </conditionalFormatting>
  <conditionalFormatting sqref="J5 J13 J21 J29">
    <cfRule type="containsText" dxfId="226" priority="24" stopIfTrue="1" operator="containsText" text="p&lt;0.0001">
      <formula>NOT(ISERROR(SEARCH("p&lt;0.0001",J5)))</formula>
    </cfRule>
    <cfRule type="containsText" dxfId="225" priority="25" stopIfTrue="1" operator="containsText" text="p&lt;0.001">
      <formula>NOT(ISERROR(SEARCH("p&lt;0.001",J5)))</formula>
    </cfRule>
    <cfRule type="containsText" dxfId="224" priority="26" stopIfTrue="1" operator="containsText" text="p&lt;0.01">
      <formula>NOT(ISERROR(SEARCH("p&lt;0.01",J5)))</formula>
    </cfRule>
    <cfRule type="containsText" dxfId="223" priority="27" stopIfTrue="1" operator="containsText" text="p&lt;0.05">
      <formula>NOT(ISERROR(SEARCH("p&lt;0.05",J5)))</formula>
    </cfRule>
    <cfRule type="containsText" dxfId="222" priority="28" stopIfTrue="1" operator="containsText" text="p&lt;0.1">
      <formula>NOT(ISERROR(SEARCH("p&lt;0.1",J5)))</formula>
    </cfRule>
  </conditionalFormatting>
  <conditionalFormatting sqref="A88:C88 F36:F43 F47:F54 F58:F65 F69:F76 F44:G44 A66">
    <cfRule type="cellIs" dxfId="221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48"/>
  <sheetViews>
    <sheetView showGridLines="0" zoomScaleNormal="100" zoomScaleSheetLayoutView="55" workbookViewId="0">
      <selection activeCell="M1" sqref="M1"/>
    </sheetView>
  </sheetViews>
  <sheetFormatPr defaultColWidth="13.88671875" defaultRowHeight="13.2" x14ac:dyDescent="0.25"/>
  <cols>
    <col min="1" max="1" width="12.33203125" style="216" customWidth="1"/>
    <col min="2" max="3" width="8" style="217" bestFit="1" customWidth="1"/>
    <col min="4" max="5" width="11.44140625" style="217" customWidth="1"/>
    <col min="6" max="6" width="8.6640625" style="217" customWidth="1"/>
    <col min="7" max="7" width="8.6640625" style="220" customWidth="1"/>
    <col min="8" max="8" width="11.44140625" style="218" hidden="1" customWidth="1"/>
    <col min="9" max="9" width="9.6640625" style="218" customWidth="1"/>
    <col min="10" max="10" width="11.44140625" style="218" customWidth="1"/>
    <col min="11" max="12" width="11.44140625" style="213" customWidth="1"/>
    <col min="13" max="14" width="8.6640625" style="213" customWidth="1"/>
    <col min="15" max="15" width="11.44140625" style="214" customWidth="1"/>
    <col min="16" max="16" width="9.6640625" style="214" customWidth="1"/>
    <col min="17" max="17" width="11.44140625" style="214" customWidth="1"/>
    <col min="18" max="19" width="7.6640625" style="213" customWidth="1"/>
    <col min="20" max="21" width="11.44140625" style="213" customWidth="1"/>
    <col min="22" max="23" width="8.6640625" style="213" customWidth="1"/>
    <col min="24" max="24" width="11.44140625" style="214" customWidth="1"/>
    <col min="25" max="25" width="9.6640625" style="214" customWidth="1"/>
    <col min="26" max="26" width="11.44140625" style="214" customWidth="1"/>
    <col min="27" max="28" width="7.6640625" style="213" customWidth="1"/>
    <col min="29" max="30" width="11.44140625" style="213" customWidth="1"/>
    <col min="31" max="32" width="8.6640625" style="213" customWidth="1"/>
    <col min="33" max="33" width="11.44140625" style="214" customWidth="1"/>
    <col min="34" max="34" width="9.6640625" style="214" customWidth="1"/>
    <col min="35" max="35" width="11.44140625" style="214" customWidth="1"/>
    <col min="36" max="37" width="7.6640625" style="213" customWidth="1"/>
    <col min="38" max="39" width="11.44140625" style="213" customWidth="1"/>
    <col min="40" max="41" width="8.6640625" style="213" customWidth="1"/>
    <col min="42" max="42" width="11.44140625" style="214" customWidth="1"/>
    <col min="43" max="43" width="9.6640625" style="214" customWidth="1"/>
    <col min="44" max="44" width="11.44140625" style="214" customWidth="1"/>
    <col min="45" max="46" width="7.6640625" style="213" customWidth="1"/>
    <col min="47" max="48" width="11.44140625" style="213" customWidth="1"/>
    <col min="49" max="50" width="8.6640625" style="213" customWidth="1"/>
    <col min="51" max="51" width="11.44140625" style="214" customWidth="1"/>
    <col min="52" max="52" width="9.6640625" style="214" customWidth="1"/>
    <col min="53" max="53" width="11.44140625" style="214" customWidth="1"/>
    <col min="54" max="55" width="11.44140625" style="213" customWidth="1"/>
    <col min="56" max="16384" width="13.88671875" style="213"/>
  </cols>
  <sheetData>
    <row r="1" spans="1:11" s="196" customFormat="1" ht="14.4" thickTop="1" thickBot="1" x14ac:dyDescent="0.3">
      <c r="A1" s="194" t="s">
        <v>71</v>
      </c>
      <c r="B1" s="171" t="s">
        <v>70</v>
      </c>
      <c r="C1" s="171" t="s">
        <v>10</v>
      </c>
      <c r="D1" s="171" t="s">
        <v>81</v>
      </c>
      <c r="E1" s="171" t="str">
        <f>[13]Mode_PA_l_f0_b0!E1</f>
        <v>std.error</v>
      </c>
      <c r="F1" s="194" t="s">
        <v>8</v>
      </c>
      <c r="G1" s="219" t="s">
        <v>12</v>
      </c>
      <c r="H1" s="195" t="s">
        <v>22</v>
      </c>
      <c r="I1" s="195" t="s">
        <v>77</v>
      </c>
      <c r="J1" s="195" t="s">
        <v>27</v>
      </c>
      <c r="K1" s="320" t="s">
        <v>105</v>
      </c>
    </row>
    <row r="2" spans="1:11" s="201" customFormat="1" ht="16.2" thickTop="1" x14ac:dyDescent="0.25">
      <c r="A2" s="197" t="s">
        <v>78</v>
      </c>
      <c r="B2" s="197">
        <f>[26]Mode_PA_l_f0_b1!C2</f>
        <v>8.5999999999999993E-2</v>
      </c>
      <c r="C2" s="198">
        <f>[26]Mode_PA_l_f0_b1!D2</f>
        <v>-0.17687652601089701</v>
      </c>
      <c r="D2" s="198">
        <f>[26]Mode_PA_l_f0_b1!E2</f>
        <v>0.348471817940809</v>
      </c>
      <c r="E2" s="198">
        <f>[26]Mode_PA_l_f0_b1!F2</f>
        <v>0.13400000000000001</v>
      </c>
      <c r="F2" s="198">
        <f>[26]Mode_PA_l_f0_b1!G2</f>
        <v>0.64100000000000001</v>
      </c>
      <c r="G2" s="197">
        <f>[26]Mode_PA_l_f0_b1!H2</f>
        <v>598.97</v>
      </c>
      <c r="H2" s="199">
        <f>[26]Mode_PA_l_f0_b1!I2</f>
        <v>0.52100000000000002</v>
      </c>
      <c r="I2" s="199">
        <f>[26]Mode_PA_l_f0_b1!J2</f>
        <v>0.60199999999999998</v>
      </c>
      <c r="J2" s="200">
        <f>[26]Mode_PA_l_f0_b1!K2</f>
        <v>0</v>
      </c>
      <c r="K2" s="321">
        <f>B2-C2</f>
        <v>0.262876526010897</v>
      </c>
    </row>
    <row r="3" spans="1:11" s="201" customFormat="1" ht="15.6" x14ac:dyDescent="0.25">
      <c r="A3" s="202" t="s">
        <v>79</v>
      </c>
      <c r="B3" s="202">
        <f>[27]Mode_PA_h_f0_b1!C2</f>
        <v>0.41699999999999998</v>
      </c>
      <c r="C3" s="203">
        <f>[27]Mode_PA_h_f0_b1!D2</f>
        <v>3.2769822598991402E-2</v>
      </c>
      <c r="D3" s="203">
        <f>[27]Mode_PA_h_f0_b1!E2</f>
        <v>0.80218190937686995</v>
      </c>
      <c r="E3" s="203">
        <f>[27]Mode_PA_h_f0_b1!F2</f>
        <v>0.19600000000000001</v>
      </c>
      <c r="F3" s="203">
        <f>[27]Mode_PA_h_f0_b1!G2</f>
        <v>2.1309999999999998</v>
      </c>
      <c r="G3" s="202">
        <f>[27]Mode_PA_h_f0_b1!H2</f>
        <v>609.98</v>
      </c>
      <c r="H3" s="204">
        <f>[27]Mode_PA_h_f0_b1!I2</f>
        <v>3.3000000000000002E-2</v>
      </c>
      <c r="I3" s="204">
        <f>[27]Mode_PA_h_f0_b1!J2</f>
        <v>0.05</v>
      </c>
      <c r="J3" s="205" t="str">
        <f>[27]Mode_PA_h_f0_b1!K2</f>
        <v>p&lt;0.05</v>
      </c>
      <c r="K3" s="321">
        <f t="shared" ref="K3:K8" si="0">B3-C3</f>
        <v>0.38423017740100857</v>
      </c>
    </row>
    <row r="4" spans="1:11" s="201" customFormat="1" x14ac:dyDescent="0.25">
      <c r="A4" s="202" t="s">
        <v>5</v>
      </c>
      <c r="B4" s="202">
        <f>[28]Mode_PA_f0_exc_b1!C2</f>
        <v>0.19700000000000001</v>
      </c>
      <c r="C4" s="203">
        <f>[28]Mode_PA_f0_exc_b1!D2</f>
        <v>-9.0348640704437003E-2</v>
      </c>
      <c r="D4" s="203">
        <f>[28]Mode_PA_f0_exc_b1!E2</f>
        <v>0.48345020198361999</v>
      </c>
      <c r="E4" s="203">
        <f>[28]Mode_PA_f0_exc_b1!F2</f>
        <v>0.14599999999999999</v>
      </c>
      <c r="F4" s="203">
        <f>[28]Mode_PA_f0_exc_b1!G2</f>
        <v>1.345</v>
      </c>
      <c r="G4" s="202">
        <f>[28]Mode_PA_f0_exc_b1!H2</f>
        <v>606.87</v>
      </c>
      <c r="H4" s="204">
        <f>[28]Mode_PA_f0_exc_b1!I2</f>
        <v>0.17899999999999999</v>
      </c>
      <c r="I4" s="204">
        <f>[28]Mode_PA_f0_exc_b1!J2</f>
        <v>0.23300000000000001</v>
      </c>
      <c r="J4" s="205">
        <f>[28]Mode_PA_f0_exc_b1!K2</f>
        <v>0</v>
      </c>
      <c r="K4" s="321">
        <f t="shared" si="0"/>
        <v>0.287348640704437</v>
      </c>
    </row>
    <row r="5" spans="1:11" s="201" customFormat="1" ht="15.6" x14ac:dyDescent="0.25">
      <c r="A5" s="202" t="s">
        <v>80</v>
      </c>
      <c r="B5" s="202">
        <f>[29]Mode_PA_lh_mean_f0_b1!C2</f>
        <v>0.29899999999999999</v>
      </c>
      <c r="C5" s="203">
        <f>[29]Mode_PA_lh_mean_f0_b1!D2</f>
        <v>9.2334577769921308E-3</v>
      </c>
      <c r="D5" s="203">
        <f>[29]Mode_PA_lh_mean_f0_b1!E2</f>
        <v>0.58803483442042204</v>
      </c>
      <c r="E5" s="203">
        <f>[29]Mode_PA_lh_mean_f0_b1!F2</f>
        <v>0.14699999999999999</v>
      </c>
      <c r="F5" s="203">
        <f>[29]Mode_PA_lh_mean_f0_b1!G2</f>
        <v>2.0270000000000001</v>
      </c>
      <c r="G5" s="202">
        <f>[29]Mode_PA_lh_mean_f0_b1!H2</f>
        <v>597.91999999999996</v>
      </c>
      <c r="H5" s="204">
        <f>[29]Mode_PA_lh_mean_f0_b1!I2</f>
        <v>4.2999999999999997E-2</v>
      </c>
      <c r="I5" s="204">
        <f>[29]Mode_PA_lh_mean_f0_b1!J2</f>
        <v>6.4000000000000001E-2</v>
      </c>
      <c r="J5" s="205">
        <f>[29]Mode_PA_lh_mean_f0_b1!K2</f>
        <v>0</v>
      </c>
      <c r="K5" s="321">
        <f t="shared" si="0"/>
        <v>0.28976654222300785</v>
      </c>
    </row>
    <row r="6" spans="1:11" s="207" customFormat="1" x14ac:dyDescent="0.25">
      <c r="A6" s="206" t="s">
        <v>4</v>
      </c>
      <c r="B6" s="202">
        <f>[30]Mode_PA_l_t_b1!C2</f>
        <v>0.32500000000000001</v>
      </c>
      <c r="C6" s="202">
        <f>[30]Mode_PA_l_t_b1!D2</f>
        <v>-3.5449395705412399</v>
      </c>
      <c r="D6" s="202">
        <f>[30]Mode_PA_l_t_b1!E2</f>
        <v>4.1943195758573397</v>
      </c>
      <c r="E6" s="202">
        <f>[30]Mode_PA_l_t_b1!F2</f>
        <v>1.97</v>
      </c>
      <c r="F6" s="203">
        <f>[30]Mode_PA_l_t_b1!G2</f>
        <v>0.16500000000000001</v>
      </c>
      <c r="G6" s="202">
        <f>[30]Mode_PA_l_t_b1!H2</f>
        <v>604.92999999999995</v>
      </c>
      <c r="H6" s="204">
        <f>[30]Mode_PA_l_t_b1!I2</f>
        <v>0.86899999999999999</v>
      </c>
      <c r="I6" s="204">
        <f>[30]Mode_PA_l_t_b1!J2</f>
        <v>0.92700000000000005</v>
      </c>
      <c r="J6" s="205">
        <f>[30]Mode_PA_l_t_b1!K2</f>
        <v>0</v>
      </c>
      <c r="K6" s="321">
        <f t="shared" si="0"/>
        <v>3.86993957054124</v>
      </c>
    </row>
    <row r="7" spans="1:11" s="207" customFormat="1" x14ac:dyDescent="0.25">
      <c r="A7" s="206" t="s">
        <v>3</v>
      </c>
      <c r="B7" s="202">
        <f>[31]Mode_PA_h_t_b1!C2</f>
        <v>-0.45100000000000001</v>
      </c>
      <c r="C7" s="202">
        <f>[31]Mode_PA_h_t_b1!D2</f>
        <v>-6.1920653229988698</v>
      </c>
      <c r="D7" s="202">
        <f>[31]Mode_PA_h_t_b1!E2</f>
        <v>5.2894011087549098</v>
      </c>
      <c r="E7" s="202">
        <f>[31]Mode_PA_h_t_b1!F2</f>
        <v>2.923</v>
      </c>
      <c r="F7" s="203">
        <f>[31]Mode_PA_h_t_b1!G2</f>
        <v>-0.154</v>
      </c>
      <c r="G7" s="202">
        <f>[31]Mode_PA_h_t_b1!H2</f>
        <v>608.04</v>
      </c>
      <c r="H7" s="204">
        <f>[31]Mode_PA_h_t_b1!I2</f>
        <v>0.877</v>
      </c>
      <c r="I7" s="204">
        <f>[31]Mode_PA_h_t_b1!J2</f>
        <v>0.92800000000000005</v>
      </c>
      <c r="J7" s="205">
        <f>[31]Mode_PA_h_t_b1!K2</f>
        <v>0</v>
      </c>
      <c r="K7" s="321">
        <f t="shared" si="0"/>
        <v>5.7410653229988702</v>
      </c>
    </row>
    <row r="8" spans="1:11" s="212" customFormat="1" ht="13.8" thickBot="1" x14ac:dyDescent="0.3">
      <c r="A8" s="208" t="s">
        <v>26</v>
      </c>
      <c r="B8" s="209">
        <f>[32]Mode_PA_lh_slope_b1!C2</f>
        <v>1.8919999999999999</v>
      </c>
      <c r="C8" s="208">
        <f>[32]Mode_PA_lh_slope_b1!D2</f>
        <v>0.17709811757452401</v>
      </c>
      <c r="D8" s="208">
        <f>[32]Mode_PA_lh_slope_b1!E2</f>
        <v>3.6066969554172599</v>
      </c>
      <c r="E8" s="208">
        <f>[32]Mode_PA_lh_slope_b1!F2</f>
        <v>0.873</v>
      </c>
      <c r="F8" s="209">
        <f>[32]Mode_PA_lh_slope_b1!G2</f>
        <v>2.1669999999999998</v>
      </c>
      <c r="G8" s="208">
        <f>[32]Mode_PA_lh_slope_b1!H2</f>
        <v>603.55999999999995</v>
      </c>
      <c r="H8" s="210">
        <f>[32]Mode_PA_lh_slope_b1!I2</f>
        <v>3.1E-2</v>
      </c>
      <c r="I8" s="210">
        <f>[32]Mode_PA_lh_slope_b1!J2</f>
        <v>4.7E-2</v>
      </c>
      <c r="J8" s="211" t="str">
        <f>[32]Mode_PA_lh_slope_b1!K2</f>
        <v>p&lt;0.05</v>
      </c>
      <c r="K8" s="321">
        <f t="shared" si="0"/>
        <v>1.7149018824254758</v>
      </c>
    </row>
    <row r="9" spans="1:11" ht="15.6" customHeight="1" thickTop="1" thickBot="1" x14ac:dyDescent="0.3">
      <c r="A9" s="194" t="s">
        <v>72</v>
      </c>
      <c r="B9" s="194" t="str">
        <f t="shared" ref="B9:H9" si="1">B1</f>
        <v>est.</v>
      </c>
      <c r="C9" s="194" t="str">
        <f t="shared" si="1"/>
        <v>2.5% CI</v>
      </c>
      <c r="D9" s="194" t="str">
        <f t="shared" si="1"/>
        <v>07.5% CI</v>
      </c>
      <c r="E9" s="194" t="str">
        <f t="shared" si="1"/>
        <v>std.error</v>
      </c>
      <c r="F9" s="194" t="str">
        <f t="shared" si="1"/>
        <v>t</v>
      </c>
      <c r="G9" s="219" t="str">
        <f t="shared" si="1"/>
        <v>df</v>
      </c>
      <c r="H9" s="195" t="str">
        <f t="shared" si="1"/>
        <v>p. val.</v>
      </c>
      <c r="I9" s="195" t="s">
        <v>77</v>
      </c>
      <c r="J9" s="195" t="str">
        <f>J1</f>
        <v>sig.</v>
      </c>
      <c r="K9" s="320" t="s">
        <v>105</v>
      </c>
    </row>
    <row r="10" spans="1:11" ht="16.2" thickTop="1" x14ac:dyDescent="0.25">
      <c r="A10" s="197" t="s">
        <v>78</v>
      </c>
      <c r="B10" s="197">
        <f>[26]Mode_PA_l_f0_b1!C3</f>
        <v>1.1879999999999999</v>
      </c>
      <c r="C10" s="197">
        <f>[26]Mode_PA_l_f0_b1!D3</f>
        <v>0.89789380261555396</v>
      </c>
      <c r="D10" s="197">
        <f>[26]Mode_PA_l_f0_b1!E3</f>
        <v>1.4777286068392399</v>
      </c>
      <c r="E10" s="198">
        <f>[26]Mode_PA_l_f0_b1!F3</f>
        <v>0.14799999999999999</v>
      </c>
      <c r="F10" s="198">
        <f>[26]Mode_PA_l_f0_b1!G3</f>
        <v>8.0459999999999994</v>
      </c>
      <c r="G10" s="197">
        <f>[26]Mode_PA_l_f0_b1!H3</f>
        <v>599.01</v>
      </c>
      <c r="H10" s="199">
        <f>[26]Mode_PA_l_f0_b1!I3</f>
        <v>4.5999999999999998E-15</v>
      </c>
      <c r="I10" s="221">
        <f>[26]Mode_PA_l_f0_b1!J3</f>
        <v>3.4E-14</v>
      </c>
      <c r="J10" s="200" t="str">
        <f>[26]Mode_PA_l_f0_b1!K3</f>
        <v>p&lt;0.0001</v>
      </c>
      <c r="K10" s="321">
        <f>B10-C10</f>
        <v>0.29010619738444599</v>
      </c>
    </row>
    <row r="11" spans="1:11" ht="15.6" x14ac:dyDescent="0.25">
      <c r="A11" s="202" t="s">
        <v>79</v>
      </c>
      <c r="B11" s="202">
        <f>[27]Mode_PA_h_f0_b1!C3</f>
        <v>1.129</v>
      </c>
      <c r="C11" s="202">
        <f>[27]Mode_PA_h_f0_b1!D3</f>
        <v>0.70325590722223796</v>
      </c>
      <c r="D11" s="202">
        <f>[27]Mode_PA_h_f0_b1!E3</f>
        <v>1.5551863947656099</v>
      </c>
      <c r="E11" s="203">
        <f>[27]Mode_PA_h_f0_b1!F3</f>
        <v>0.217</v>
      </c>
      <c r="F11" s="203">
        <f>[27]Mode_PA_h_f0_b1!G3</f>
        <v>5.2060000000000004</v>
      </c>
      <c r="G11" s="202">
        <f>[27]Mode_PA_h_f0_b1!H3</f>
        <v>610.05999999999995</v>
      </c>
      <c r="H11" s="204">
        <f>[27]Mode_PA_h_f0_b1!I3</f>
        <v>2.6E-7</v>
      </c>
      <c r="I11" s="222">
        <f>[27]Mode_PA_h_f0_b1!J3</f>
        <v>8.8999999999999995E-7</v>
      </c>
      <c r="J11" s="205" t="str">
        <f>[27]Mode_PA_h_f0_b1!K3</f>
        <v>p&lt;0.0001</v>
      </c>
      <c r="K11" s="321">
        <f t="shared" ref="K11:K16" si="2">B11-C11</f>
        <v>0.42574409277776204</v>
      </c>
    </row>
    <row r="12" spans="1:11" x14ac:dyDescent="0.25">
      <c r="A12" s="202" t="s">
        <v>5</v>
      </c>
      <c r="B12" s="203">
        <f>[28]Mode_PA_f0_exc_b1!C3</f>
        <v>-0.10100000000000001</v>
      </c>
      <c r="C12" s="203">
        <f>[28]Mode_PA_f0_exc_b1!D3</f>
        <v>-0.417395282389037</v>
      </c>
      <c r="D12" s="203">
        <f>[28]Mode_PA_f0_exc_b1!E3</f>
        <v>0.21519745104635901</v>
      </c>
      <c r="E12" s="203">
        <f>[28]Mode_PA_f0_exc_b1!F3</f>
        <v>0.161</v>
      </c>
      <c r="F12" s="203">
        <f>[28]Mode_PA_f0_exc_b1!G3</f>
        <v>-0.628</v>
      </c>
      <c r="G12" s="202">
        <f>[28]Mode_PA_f0_exc_b1!H3</f>
        <v>607.74</v>
      </c>
      <c r="H12" s="204">
        <f>[28]Mode_PA_f0_exc_b1!I3</f>
        <v>0.53</v>
      </c>
      <c r="I12" s="204">
        <f>[28]Mode_PA_f0_exc_b1!J3</f>
        <v>0.60599999999999998</v>
      </c>
      <c r="J12" s="205">
        <f>[28]Mode_PA_f0_exc_b1!K3</f>
        <v>0</v>
      </c>
      <c r="K12" s="321">
        <f t="shared" si="2"/>
        <v>0.31639528238903702</v>
      </c>
    </row>
    <row r="13" spans="1:11" ht="15.6" x14ac:dyDescent="0.25">
      <c r="A13" s="202" t="s">
        <v>80</v>
      </c>
      <c r="B13" s="202">
        <f>[29]Mode_PA_lh_mean_f0_b1!C3</f>
        <v>1.3109999999999999</v>
      </c>
      <c r="C13" s="203">
        <f>[29]Mode_PA_lh_mean_f0_b1!D3</f>
        <v>0.99101300815862903</v>
      </c>
      <c r="D13" s="203">
        <f>[29]Mode_PA_lh_mean_f0_b1!E3</f>
        <v>1.6319344797167299</v>
      </c>
      <c r="E13" s="203">
        <f>[29]Mode_PA_lh_mean_f0_b1!F3</f>
        <v>0.16300000000000001</v>
      </c>
      <c r="F13" s="203">
        <f>[29]Mode_PA_lh_mean_f0_b1!G3</f>
        <v>8.0370000000000008</v>
      </c>
      <c r="G13" s="202">
        <f>[29]Mode_PA_lh_mean_f0_b1!H3</f>
        <v>597.99</v>
      </c>
      <c r="H13" s="204">
        <f>[29]Mode_PA_lh_mean_f0_b1!I3</f>
        <v>4.8999999999999999E-15</v>
      </c>
      <c r="I13" s="204">
        <f>[29]Mode_PA_lh_mean_f0_b1!J3</f>
        <v>3.5000000000000002E-14</v>
      </c>
      <c r="J13" s="205" t="str">
        <f>[29]Mode_PA_lh_mean_f0_b1!K3</f>
        <v>p&lt;0.0001</v>
      </c>
      <c r="K13" s="321">
        <f t="shared" si="2"/>
        <v>0.31998699184137092</v>
      </c>
    </row>
    <row r="14" spans="1:11" x14ac:dyDescent="0.25">
      <c r="A14" s="206" t="s">
        <v>4</v>
      </c>
      <c r="B14" s="206">
        <f>[30]Mode_PA_l_t_b1!C3</f>
        <v>2.0680000000000001</v>
      </c>
      <c r="C14" s="206">
        <f>[30]Mode_PA_l_t_b1!D3</f>
        <v>-2.2250529520495501</v>
      </c>
      <c r="D14" s="206">
        <f>[30]Mode_PA_l_t_b1!E3</f>
        <v>6.3616380615155297</v>
      </c>
      <c r="E14" s="202">
        <f>[30]Mode_PA_l_t_b1!F3</f>
        <v>2.1859999999999999</v>
      </c>
      <c r="F14" s="203">
        <f>[30]Mode_PA_l_t_b1!G3</f>
        <v>0.94599999999999995</v>
      </c>
      <c r="G14" s="202">
        <f>[30]Mode_PA_l_t_b1!H3</f>
        <v>605.15</v>
      </c>
      <c r="H14" s="204">
        <f>[30]Mode_PA_l_t_b1!I3</f>
        <v>0.34399999999999997</v>
      </c>
      <c r="I14" s="204">
        <f>[30]Mode_PA_l_t_b1!J3</f>
        <v>0.42399999999999999</v>
      </c>
      <c r="J14" s="205">
        <f>[30]Mode_PA_l_t_b1!K3</f>
        <v>0</v>
      </c>
      <c r="K14" s="321">
        <f t="shared" si="2"/>
        <v>4.2930529520495497</v>
      </c>
    </row>
    <row r="15" spans="1:11" x14ac:dyDescent="0.25">
      <c r="A15" s="206" t="s">
        <v>3</v>
      </c>
      <c r="B15" s="206">
        <f>[31]Mode_PA_h_t_b1!C3</f>
        <v>-7.9000000000000001E-2</v>
      </c>
      <c r="C15" s="206">
        <f>[31]Mode_PA_h_t_b1!D3</f>
        <v>-6.4355930497881104</v>
      </c>
      <c r="D15" s="206">
        <f>[31]Mode_PA_h_t_b1!E3</f>
        <v>6.2766427277463697</v>
      </c>
      <c r="E15" s="202">
        <f>[31]Mode_PA_h_t_b1!F3</f>
        <v>3.2370000000000001</v>
      </c>
      <c r="F15" s="203">
        <f>[31]Mode_PA_h_t_b1!G3</f>
        <v>-2.5000000000000001E-2</v>
      </c>
      <c r="G15" s="202">
        <f>[31]Mode_PA_h_t_b1!H3</f>
        <v>608.29</v>
      </c>
      <c r="H15" s="204">
        <f>[31]Mode_PA_h_t_b1!I3</f>
        <v>0.98</v>
      </c>
      <c r="I15" s="204">
        <f>[31]Mode_PA_h_t_b1!J3</f>
        <v>0.98399999999999999</v>
      </c>
      <c r="J15" s="205">
        <f>[31]Mode_PA_h_t_b1!K3</f>
        <v>0</v>
      </c>
      <c r="K15" s="321">
        <f t="shared" si="2"/>
        <v>6.3565930497881107</v>
      </c>
    </row>
    <row r="16" spans="1:11" ht="13.8" thickBot="1" x14ac:dyDescent="0.3">
      <c r="A16" s="208" t="s">
        <v>26</v>
      </c>
      <c r="B16" s="209">
        <f>[32]Mode_PA_lh_slope_b1!C3</f>
        <v>0.38700000000000001</v>
      </c>
      <c r="C16" s="209">
        <f>[32]Mode_PA_lh_slope_b1!D3</f>
        <v>-1.50479130580635</v>
      </c>
      <c r="D16" s="209">
        <f>[32]Mode_PA_lh_slope_b1!E3</f>
        <v>2.2784829308040702</v>
      </c>
      <c r="E16" s="209">
        <f>[32]Mode_PA_lh_slope_b1!F3</f>
        <v>0.96299999999999997</v>
      </c>
      <c r="F16" s="209">
        <f>[32]Mode_PA_lh_slope_b1!G3</f>
        <v>0.40200000000000002</v>
      </c>
      <c r="G16" s="208">
        <f>[32]Mode_PA_lh_slope_b1!H3</f>
        <v>604.34</v>
      </c>
      <c r="H16" s="210">
        <f>[32]Mode_PA_lh_slope_b1!I3</f>
        <v>0.68799999999999994</v>
      </c>
      <c r="I16" s="210">
        <f>[32]Mode_PA_lh_slope_b1!J3</f>
        <v>0.76600000000000001</v>
      </c>
      <c r="J16" s="211">
        <f>[32]Mode_PA_lh_slope_b1!K3</f>
        <v>0</v>
      </c>
      <c r="K16" s="321">
        <f t="shared" si="2"/>
        <v>1.89179130580635</v>
      </c>
    </row>
    <row r="17" spans="1:11" ht="14.4" thickTop="1" thickBot="1" x14ac:dyDescent="0.3">
      <c r="A17" s="194" t="s">
        <v>73</v>
      </c>
      <c r="B17" s="194" t="str">
        <f t="shared" ref="B17:H17" si="3">B1</f>
        <v>est.</v>
      </c>
      <c r="C17" s="194" t="str">
        <f t="shared" si="3"/>
        <v>2.5% CI</v>
      </c>
      <c r="D17" s="194" t="str">
        <f t="shared" si="3"/>
        <v>07.5% CI</v>
      </c>
      <c r="E17" s="194" t="str">
        <f t="shared" si="3"/>
        <v>std.error</v>
      </c>
      <c r="F17" s="194" t="str">
        <f t="shared" si="3"/>
        <v>t</v>
      </c>
      <c r="G17" s="219" t="str">
        <f t="shared" si="3"/>
        <v>df</v>
      </c>
      <c r="H17" s="195" t="str">
        <f t="shared" si="3"/>
        <v>p. val.</v>
      </c>
      <c r="I17" s="195" t="s">
        <v>77</v>
      </c>
      <c r="J17" s="195" t="str">
        <f>J1</f>
        <v>sig.</v>
      </c>
      <c r="K17" s="320" t="s">
        <v>105</v>
      </c>
    </row>
    <row r="18" spans="1:11" ht="16.2" thickTop="1" x14ac:dyDescent="0.25">
      <c r="A18" s="197" t="s">
        <v>78</v>
      </c>
      <c r="B18" s="197">
        <f>[26]Mode_PA_l_f0_b1!C4</f>
        <v>1.042</v>
      </c>
      <c r="C18" s="197">
        <f>[26]Mode_PA_l_f0_b1!D4</f>
        <v>0.63743718426227003</v>
      </c>
      <c r="D18" s="197">
        <f>[26]Mode_PA_l_f0_b1!E4</f>
        <v>1.4461521942798901</v>
      </c>
      <c r="E18" s="198">
        <f>[26]Mode_PA_l_f0_b1!F4</f>
        <v>0.20599999999999999</v>
      </c>
      <c r="F18" s="198">
        <f>[26]Mode_PA_l_f0_b1!G4</f>
        <v>5.0599999999999996</v>
      </c>
      <c r="G18" s="197">
        <f>[26]Mode_PA_l_f0_b1!H4</f>
        <v>600.46</v>
      </c>
      <c r="H18" s="199">
        <f>[26]Mode_PA_l_f0_b1!I4</f>
        <v>5.6000000000000004E-7</v>
      </c>
      <c r="I18" s="221">
        <f>[26]Mode_PA_l_f0_b1!J4</f>
        <v>1.7999999999999999E-6</v>
      </c>
      <c r="J18" s="200" t="str">
        <f>[26]Mode_PA_l_f0_b1!K4</f>
        <v>p&lt;0.0001</v>
      </c>
      <c r="K18" s="321">
        <f>B18-C18</f>
        <v>0.40456281573773001</v>
      </c>
    </row>
    <row r="19" spans="1:11" ht="15.6" x14ac:dyDescent="0.25">
      <c r="A19" s="202" t="s">
        <v>79</v>
      </c>
      <c r="B19" s="202">
        <f>[27]Mode_PA_h_f0_b1!C4</f>
        <v>2.2999999999999998</v>
      </c>
      <c r="C19" s="202">
        <f>[27]Mode_PA_h_f0_b1!D4</f>
        <v>1.7262072036284699</v>
      </c>
      <c r="D19" s="202">
        <f>[27]Mode_PA_h_f0_b1!E4</f>
        <v>2.87377148473445</v>
      </c>
      <c r="E19" s="203">
        <f>[27]Mode_PA_h_f0_b1!F4</f>
        <v>0.29199999999999998</v>
      </c>
      <c r="F19" s="203">
        <f>[27]Mode_PA_h_f0_b1!G4</f>
        <v>7.8719999999999999</v>
      </c>
      <c r="G19" s="202">
        <f>[27]Mode_PA_h_f0_b1!H4</f>
        <v>611.79999999999995</v>
      </c>
      <c r="H19" s="204">
        <f>[27]Mode_PA_h_f0_b1!I4</f>
        <v>1.6000000000000001E-14</v>
      </c>
      <c r="I19" s="222">
        <f>[27]Mode_PA_h_f0_b1!J4</f>
        <v>1.1E-13</v>
      </c>
      <c r="J19" s="205" t="str">
        <f>[27]Mode_PA_h_f0_b1!K4</f>
        <v>p&lt;0.0001</v>
      </c>
      <c r="K19" s="321">
        <f t="shared" ref="K19:K24" si="4">B19-C19</f>
        <v>0.57379279637152991</v>
      </c>
    </row>
    <row r="20" spans="1:11" x14ac:dyDescent="0.25">
      <c r="A20" s="202" t="s">
        <v>5</v>
      </c>
      <c r="B20" s="203">
        <f>[28]Mode_PA_f0_exc_b1!C4</f>
        <v>0.95499999999999996</v>
      </c>
      <c r="C20" s="203">
        <f>[28]Mode_PA_f0_exc_b1!D4</f>
        <v>0.53227932948249101</v>
      </c>
      <c r="D20" s="203">
        <f>[28]Mode_PA_f0_exc_b1!E4</f>
        <v>1.37738797143903</v>
      </c>
      <c r="E20" s="203">
        <f>[28]Mode_PA_f0_exc_b1!F4</f>
        <v>0.215</v>
      </c>
      <c r="F20" s="203">
        <f>[28]Mode_PA_f0_exc_b1!G4</f>
        <v>4.4379999999999997</v>
      </c>
      <c r="G20" s="202">
        <f>[28]Mode_PA_f0_exc_b1!H4</f>
        <v>577.9</v>
      </c>
      <c r="H20" s="204">
        <f>[28]Mode_PA_f0_exc_b1!I4</f>
        <v>1.1E-5</v>
      </c>
      <c r="I20" s="222">
        <f>[28]Mode_PA_f0_exc_b1!J4</f>
        <v>3.0000000000000001E-5</v>
      </c>
      <c r="J20" s="205" t="str">
        <f>[28]Mode_PA_f0_exc_b1!K4</f>
        <v>p&lt;0.0001</v>
      </c>
      <c r="K20" s="321">
        <f t="shared" si="4"/>
        <v>0.42272067051750895</v>
      </c>
    </row>
    <row r="21" spans="1:11" ht="15.6" x14ac:dyDescent="0.25">
      <c r="A21" s="202" t="s">
        <v>80</v>
      </c>
      <c r="B21" s="202">
        <f>[29]Mode_PA_lh_mean_f0_b1!C4</f>
        <v>1.5649999999999999</v>
      </c>
      <c r="C21" s="203">
        <f>[29]Mode_PA_lh_mean_f0_b1!D4</f>
        <v>1.1207256076226899</v>
      </c>
      <c r="D21" s="203">
        <f>[29]Mode_PA_lh_mean_f0_b1!E4</f>
        <v>2.0086449271115701</v>
      </c>
      <c r="E21" s="203">
        <f>[29]Mode_PA_lh_mean_f0_b1!F4</f>
        <v>0.22600000000000001</v>
      </c>
      <c r="F21" s="203">
        <f>[29]Mode_PA_lh_mean_f0_b1!G4</f>
        <v>6.9219999999999997</v>
      </c>
      <c r="G21" s="202">
        <f>[29]Mode_PA_lh_mean_f0_b1!H4</f>
        <v>599.54</v>
      </c>
      <c r="H21" s="204">
        <f>[29]Mode_PA_lh_mean_f0_b1!I4</f>
        <v>1.2000000000000001E-11</v>
      </c>
      <c r="I21" s="222">
        <f>[29]Mode_PA_lh_mean_f0_b1!J4</f>
        <v>5.6E-11</v>
      </c>
      <c r="J21" s="205" t="str">
        <f>[29]Mode_PA_lh_mean_f0_b1!K4</f>
        <v>p&lt;0.0001</v>
      </c>
      <c r="K21" s="321">
        <f t="shared" si="4"/>
        <v>0.44427439237731003</v>
      </c>
    </row>
    <row r="22" spans="1:11" x14ac:dyDescent="0.25">
      <c r="A22" s="206" t="s">
        <v>4</v>
      </c>
      <c r="B22" s="206">
        <f>[30]Mode_PA_l_t_b1!C4</f>
        <v>-20.366</v>
      </c>
      <c r="C22" s="206">
        <f>[30]Mode_PA_l_t_b1!D4</f>
        <v>-26.087701974711099</v>
      </c>
      <c r="D22" s="206">
        <f>[30]Mode_PA_l_t_b1!E4</f>
        <v>-14.6448481236961</v>
      </c>
      <c r="E22" s="202">
        <f>[30]Mode_PA_l_t_b1!F4</f>
        <v>2.9129999999999998</v>
      </c>
      <c r="F22" s="203">
        <f>[30]Mode_PA_l_t_b1!G4</f>
        <v>-6.992</v>
      </c>
      <c r="G22" s="202">
        <f>[30]Mode_PA_l_t_b1!H4</f>
        <v>569.44000000000005</v>
      </c>
      <c r="H22" s="203">
        <f>[30]Mode_PA_l_t_b1!I4</f>
        <v>7.5999999999999999E-12</v>
      </c>
      <c r="I22" s="222">
        <f>[30]Mode_PA_l_t_b1!J4</f>
        <v>3.7000000000000001E-11</v>
      </c>
      <c r="J22" s="205" t="str">
        <f>[30]Mode_PA_l_t_b1!K4</f>
        <v>p&lt;0.0001</v>
      </c>
      <c r="K22" s="321">
        <f t="shared" si="4"/>
        <v>5.7217019747110989</v>
      </c>
    </row>
    <row r="23" spans="1:11" x14ac:dyDescent="0.25">
      <c r="A23" s="206" t="s">
        <v>3</v>
      </c>
      <c r="B23" s="206">
        <f>[31]Mode_PA_h_t_b1!C4</f>
        <v>-15.894</v>
      </c>
      <c r="C23" s="206">
        <f>[31]Mode_PA_h_t_b1!D4</f>
        <v>-24.4634504601336</v>
      </c>
      <c r="D23" s="206">
        <f>[31]Mode_PA_h_t_b1!E4</f>
        <v>-7.3249491108301799</v>
      </c>
      <c r="E23" s="202">
        <f>[31]Mode_PA_h_t_b1!F4</f>
        <v>4.3630000000000004</v>
      </c>
      <c r="F23" s="203">
        <f>[31]Mode_PA_h_t_b1!G4</f>
        <v>-3.6429999999999998</v>
      </c>
      <c r="G23" s="202">
        <f>[31]Mode_PA_h_t_b1!H4</f>
        <v>610.35</v>
      </c>
      <c r="H23" s="204">
        <f>[31]Mode_PA_h_t_b1!I4</f>
        <v>2.9E-4</v>
      </c>
      <c r="I23" s="204">
        <f>[31]Mode_PA_h_t_b1!J4</f>
        <v>6.7000000000000002E-4</v>
      </c>
      <c r="J23" s="205" t="str">
        <f>[31]Mode_PA_h_t_b1!K4</f>
        <v>p&lt;0.001</v>
      </c>
      <c r="K23" s="321">
        <f t="shared" si="4"/>
        <v>8.5694504601336003</v>
      </c>
    </row>
    <row r="24" spans="1:11" ht="13.8" thickBot="1" x14ac:dyDescent="0.3">
      <c r="A24" s="208" t="s">
        <v>26</v>
      </c>
      <c r="B24" s="209">
        <f>[32]Mode_PA_lh_slope_b1!C4</f>
        <v>5.3860000000000001</v>
      </c>
      <c r="C24" s="209">
        <f>[32]Mode_PA_lh_slope_b1!D4</f>
        <v>2.8490543350187401</v>
      </c>
      <c r="D24" s="209">
        <f>[32]Mode_PA_lh_slope_b1!E4</f>
        <v>7.92384892999487</v>
      </c>
      <c r="E24" s="209">
        <f>[32]Mode_PA_lh_slope_b1!F4</f>
        <v>1.292</v>
      </c>
      <c r="F24" s="209">
        <f>[32]Mode_PA_lh_slope_b1!G4</f>
        <v>4.17</v>
      </c>
      <c r="G24" s="208">
        <f>[32]Mode_PA_lh_slope_b1!H4</f>
        <v>563.76</v>
      </c>
      <c r="H24" s="208">
        <f>[32]Mode_PA_lh_slope_b1!I4</f>
        <v>3.4999999999999997E-5</v>
      </c>
      <c r="I24" s="208">
        <f>[32]Mode_PA_lh_slope_b1!J4</f>
        <v>9.2999999999999997E-5</v>
      </c>
      <c r="J24" s="211" t="str">
        <f>[32]Mode_PA_lh_slope_b1!K4</f>
        <v>p&lt;0.0001</v>
      </c>
      <c r="K24" s="321">
        <f t="shared" si="4"/>
        <v>2.5369456649812601</v>
      </c>
    </row>
    <row r="25" spans="1:11" ht="14.4" thickTop="1" thickBot="1" x14ac:dyDescent="0.3">
      <c r="A25" s="194" t="s">
        <v>74</v>
      </c>
      <c r="B25" s="194" t="str">
        <f t="shared" ref="B25:H25" si="5">B1</f>
        <v>est.</v>
      </c>
      <c r="C25" s="194" t="str">
        <f t="shared" si="5"/>
        <v>2.5% CI</v>
      </c>
      <c r="D25" s="194" t="str">
        <f t="shared" si="5"/>
        <v>07.5% CI</v>
      </c>
      <c r="E25" s="194" t="str">
        <f t="shared" si="5"/>
        <v>std.error</v>
      </c>
      <c r="F25" s="194" t="str">
        <f t="shared" si="5"/>
        <v>t</v>
      </c>
      <c r="G25" s="219" t="str">
        <f t="shared" si="5"/>
        <v>df</v>
      </c>
      <c r="H25" s="195" t="str">
        <f t="shared" si="5"/>
        <v>p. val.</v>
      </c>
      <c r="I25" s="195" t="str">
        <f>I17</f>
        <v>p.adj.</v>
      </c>
      <c r="J25" s="195" t="str">
        <f>J1</f>
        <v>sig.</v>
      </c>
      <c r="K25" s="320" t="s">
        <v>105</v>
      </c>
    </row>
    <row r="26" spans="1:11" ht="16.2" thickTop="1" x14ac:dyDescent="0.25">
      <c r="A26" s="197" t="s">
        <v>78</v>
      </c>
      <c r="B26" s="197">
        <f>[26]Mode_PA_l_f0_b1!C5</f>
        <v>1.1020000000000001</v>
      </c>
      <c r="C26" s="197">
        <f>[26]Mode_PA_l_f0_b1!D5</f>
        <v>0.81076147454720304</v>
      </c>
      <c r="D26" s="197">
        <f>[26]Mode_PA_l_f0_b1!E5</f>
        <v>1.3932656436680999</v>
      </c>
      <c r="E26" s="198">
        <f>[26]Mode_PA_l_f0_b1!F5</f>
        <v>0.14799999999999999</v>
      </c>
      <c r="F26" s="198">
        <f>[26]Mode_PA_l_f0_b1!G5</f>
        <v>7.431</v>
      </c>
      <c r="G26" s="197">
        <f>[26]Mode_PA_l_f0_b1!H5</f>
        <v>599.04</v>
      </c>
      <c r="H26" s="197">
        <f>[26]Mode_PA_l_f0_b1!I5</f>
        <v>3.6999999999999999E-13</v>
      </c>
      <c r="I26" s="221">
        <f>[26]Mode_PA_l_f0_b1!J5</f>
        <v>2E-12</v>
      </c>
      <c r="J26" s="200" t="str">
        <f>[26]Mode_PA_l_f0_b1!K5</f>
        <v>p&lt;0.0001</v>
      </c>
      <c r="K26" s="321">
        <f>B26-C26</f>
        <v>0.29123852545279705</v>
      </c>
    </row>
    <row r="27" spans="1:11" ht="15.6" x14ac:dyDescent="0.25">
      <c r="A27" s="202" t="s">
        <v>79</v>
      </c>
      <c r="B27" s="202">
        <f>[27]Mode_PA_h_f0_b1!C5</f>
        <v>0.71199999999999997</v>
      </c>
      <c r="C27" s="202">
        <f>[27]Mode_PA_h_f0_b1!D5</f>
        <v>0.28494370098336003</v>
      </c>
      <c r="D27" s="202">
        <f>[27]Mode_PA_h_f0_b1!E5</f>
        <v>1.1385468689305001</v>
      </c>
      <c r="E27" s="203">
        <f>[27]Mode_PA_h_f0_b1!F5</f>
        <v>0.217</v>
      </c>
      <c r="F27" s="203">
        <f>[27]Mode_PA_h_f0_b1!G5</f>
        <v>3.2749999999999999</v>
      </c>
      <c r="G27" s="202">
        <f>[27]Mode_PA_h_f0_b1!H5</f>
        <v>610.1</v>
      </c>
      <c r="H27" s="204">
        <f>[27]Mode_PA_h_f0_b1!I5</f>
        <v>1E-3</v>
      </c>
      <c r="I27" s="204">
        <f>[27]Mode_PA_h_f0_b1!J5</f>
        <v>2E-3</v>
      </c>
      <c r="J27" s="205" t="str">
        <f>[27]Mode_PA_h_f0_b1!K5</f>
        <v>p&lt;0.01</v>
      </c>
      <c r="K27" s="321">
        <f t="shared" ref="K27:K32" si="6">B27-C27</f>
        <v>0.42705629901663994</v>
      </c>
    </row>
    <row r="28" spans="1:11" x14ac:dyDescent="0.25">
      <c r="A28" s="202" t="s">
        <v>5</v>
      </c>
      <c r="B28" s="202">
        <f>[28]Mode_PA_f0_exc_b1!C5</f>
        <v>-0.29799999999999999</v>
      </c>
      <c r="C28" s="203">
        <f>[28]Mode_PA_f0_exc_b1!D5</f>
        <v>-0.61496604840540603</v>
      </c>
      <c r="D28" s="203">
        <f>[28]Mode_PA_f0_exc_b1!E5</f>
        <v>1.9666655804732001E-2</v>
      </c>
      <c r="E28" s="203">
        <f>[28]Mode_PA_f0_exc_b1!F5</f>
        <v>0.16200000000000001</v>
      </c>
      <c r="F28" s="203">
        <f>[28]Mode_PA_f0_exc_b1!G5</f>
        <v>-1.8420000000000001</v>
      </c>
      <c r="G28" s="202">
        <f>[28]Mode_PA_f0_exc_b1!H5</f>
        <v>607.92999999999995</v>
      </c>
      <c r="H28" s="204">
        <f>[28]Mode_PA_f0_exc_b1!I5</f>
        <v>6.6000000000000003E-2</v>
      </c>
      <c r="I28" s="204">
        <f>[28]Mode_PA_f0_exc_b1!J5</f>
        <v>9.6000000000000002E-2</v>
      </c>
      <c r="J28" s="205">
        <f>[28]Mode_PA_f0_exc_b1!K5</f>
        <v>0</v>
      </c>
      <c r="K28" s="321">
        <f t="shared" si="6"/>
        <v>0.31696604840540604</v>
      </c>
    </row>
    <row r="29" spans="1:11" ht="15.6" x14ac:dyDescent="0.25">
      <c r="A29" s="202" t="s">
        <v>80</v>
      </c>
      <c r="B29" s="202">
        <f>[29]Mode_PA_lh_mean_f0_b1!C5</f>
        <v>1.0129999999999999</v>
      </c>
      <c r="C29" s="203">
        <f>[29]Mode_PA_lh_mean_f0_b1!D5</f>
        <v>0.69175665964548305</v>
      </c>
      <c r="D29" s="203">
        <f>[29]Mode_PA_lh_mean_f0_b1!E5</f>
        <v>1.3339225360192799</v>
      </c>
      <c r="E29" s="203">
        <f>[29]Mode_PA_lh_mean_f0_b1!F5</f>
        <v>0.16300000000000001</v>
      </c>
      <c r="F29" s="203">
        <f>[29]Mode_PA_lh_mean_f0_b1!G5</f>
        <v>6.1950000000000003</v>
      </c>
      <c r="G29" s="202">
        <f>[29]Mode_PA_lh_mean_f0_b1!H5</f>
        <v>598</v>
      </c>
      <c r="H29" s="204">
        <f>[29]Mode_PA_lh_mean_f0_b1!I5</f>
        <v>1.0999999999999999E-9</v>
      </c>
      <c r="I29" s="204">
        <f>[29]Mode_PA_lh_mean_f0_b1!J5</f>
        <v>4.2000000000000004E-9</v>
      </c>
      <c r="J29" s="205" t="str">
        <f>[29]Mode_PA_lh_mean_f0_b1!K5</f>
        <v>p&lt;0.0001</v>
      </c>
      <c r="K29" s="321">
        <f t="shared" si="6"/>
        <v>0.32124334035451685</v>
      </c>
    </row>
    <row r="30" spans="1:11" x14ac:dyDescent="0.25">
      <c r="A30" s="206" t="s">
        <v>4</v>
      </c>
      <c r="B30" s="206">
        <f>[30]Mode_PA_l_t_b1!C5</f>
        <v>1.744</v>
      </c>
      <c r="C30" s="206">
        <f>[30]Mode_PA_l_t_b1!D5</f>
        <v>-2.5541235585089601</v>
      </c>
      <c r="D30" s="206">
        <f>[30]Mode_PA_l_t_b1!E5</f>
        <v>6.0413286631581498</v>
      </c>
      <c r="E30" s="202">
        <f>[30]Mode_PA_l_t_b1!F5</f>
        <v>2.1880000000000002</v>
      </c>
      <c r="F30" s="203">
        <f>[30]Mode_PA_l_t_b1!G5</f>
        <v>0.79700000000000004</v>
      </c>
      <c r="G30" s="202">
        <f>[30]Mode_PA_l_t_b1!H5</f>
        <v>605.33000000000004</v>
      </c>
      <c r="H30" s="204">
        <f>[30]Mode_PA_l_t_b1!I5</f>
        <v>0.42599999999999999</v>
      </c>
      <c r="I30" s="204">
        <f>[30]Mode_PA_l_t_b1!J5</f>
        <v>0.51</v>
      </c>
      <c r="J30" s="205">
        <f>[30]Mode_PA_l_t_b1!K5</f>
        <v>0</v>
      </c>
      <c r="K30" s="321">
        <f t="shared" si="6"/>
        <v>4.2981235585089603</v>
      </c>
    </row>
    <row r="31" spans="1:11" x14ac:dyDescent="0.25">
      <c r="A31" s="206" t="s">
        <v>3</v>
      </c>
      <c r="B31" s="206">
        <f>[31]Mode_PA_h_t_b1!C5</f>
        <v>0.372</v>
      </c>
      <c r="C31" s="206">
        <f>[31]Mode_PA_h_t_b1!D5</f>
        <v>-5.99640455897738</v>
      </c>
      <c r="D31" s="206">
        <f>[31]Mode_PA_h_t_b1!E5</f>
        <v>6.7401184461608503</v>
      </c>
      <c r="E31" s="202">
        <f>[31]Mode_PA_h_t_b1!F5</f>
        <v>3.2429999999999999</v>
      </c>
      <c r="F31" s="203">
        <f>[31]Mode_PA_h_t_b1!G5</f>
        <v>0.115</v>
      </c>
      <c r="G31" s="202">
        <f>[31]Mode_PA_h_t_b1!H5</f>
        <v>608.4</v>
      </c>
      <c r="H31" s="204">
        <f>[31]Mode_PA_h_t_b1!I5</f>
        <v>0.90900000000000003</v>
      </c>
      <c r="I31" s="204">
        <f>[31]Mode_PA_h_t_b1!J5</f>
        <v>0.93100000000000005</v>
      </c>
      <c r="J31" s="205">
        <f>[31]Mode_PA_h_t_b1!K5</f>
        <v>0</v>
      </c>
      <c r="K31" s="321">
        <f t="shared" si="6"/>
        <v>6.3684045589773799</v>
      </c>
    </row>
    <row r="32" spans="1:11" ht="13.8" thickBot="1" x14ac:dyDescent="0.3">
      <c r="A32" s="208" t="s">
        <v>26</v>
      </c>
      <c r="B32" s="209">
        <f>[32]Mode_PA_lh_slope_b1!C5</f>
        <v>-1.5049999999999999</v>
      </c>
      <c r="C32" s="209">
        <f>[32]Mode_PA_lh_slope_b1!D5</f>
        <v>-3.3968102622060701</v>
      </c>
      <c r="D32" s="209">
        <f>[32]Mode_PA_lh_slope_b1!E5</f>
        <v>0.38670682257675898</v>
      </c>
      <c r="E32" s="209">
        <f>[32]Mode_PA_lh_slope_b1!F5</f>
        <v>0.96299999999999997</v>
      </c>
      <c r="F32" s="209">
        <f>[32]Mode_PA_lh_slope_b1!G5</f>
        <v>-1.5620000000000001</v>
      </c>
      <c r="G32" s="208">
        <f>[32]Mode_PA_lh_slope_b1!H5</f>
        <v>604.65</v>
      </c>
      <c r="H32" s="210">
        <f>[32]Mode_PA_lh_slope_b1!I5</f>
        <v>0.11899999999999999</v>
      </c>
      <c r="I32" s="210">
        <f>[32]Mode_PA_lh_slope_b1!J5</f>
        <v>0.16400000000000001</v>
      </c>
      <c r="J32" s="211">
        <f>[32]Mode_PA_lh_slope_b1!K5</f>
        <v>0</v>
      </c>
      <c r="K32" s="321">
        <f t="shared" si="6"/>
        <v>1.8918102622060702</v>
      </c>
    </row>
    <row r="33" spans="1:53" ht="14.4" thickTop="1" thickBot="1" x14ac:dyDescent="0.3">
      <c r="A33" s="194" t="s">
        <v>75</v>
      </c>
      <c r="B33" s="194" t="str">
        <f t="shared" ref="B33:H33" si="7">B1</f>
        <v>est.</v>
      </c>
      <c r="C33" s="194" t="str">
        <f t="shared" si="7"/>
        <v>2.5% CI</v>
      </c>
      <c r="D33" s="194" t="str">
        <f t="shared" si="7"/>
        <v>07.5% CI</v>
      </c>
      <c r="E33" s="194" t="str">
        <f t="shared" si="7"/>
        <v>std.error</v>
      </c>
      <c r="F33" s="194" t="str">
        <f t="shared" si="7"/>
        <v>t</v>
      </c>
      <c r="G33" s="219" t="str">
        <f t="shared" si="7"/>
        <v>df</v>
      </c>
      <c r="H33" s="195" t="str">
        <f t="shared" si="7"/>
        <v>p. val.</v>
      </c>
      <c r="I33" s="195" t="s">
        <v>77</v>
      </c>
      <c r="J33" s="195" t="str">
        <f>J1</f>
        <v>sig.</v>
      </c>
      <c r="K33" s="320" t="s">
        <v>105</v>
      </c>
    </row>
    <row r="34" spans="1:53" ht="16.2" thickTop="1" x14ac:dyDescent="0.25">
      <c r="A34" s="197" t="s">
        <v>78</v>
      </c>
      <c r="B34" s="197">
        <f>[26]Mode_PA_l_f0_b1!C6</f>
        <v>0.95599999999999996</v>
      </c>
      <c r="C34" s="197">
        <f>[26]Mode_PA_l_f0_b1!D6</f>
        <v>0.54997486140528795</v>
      </c>
      <c r="D34" s="197">
        <f>[26]Mode_PA_l_f0_b1!E6</f>
        <v>1.36201922907551</v>
      </c>
      <c r="E34" s="198">
        <f>[26]Mode_PA_l_f0_b1!F6</f>
        <v>0.20699999999999999</v>
      </c>
      <c r="F34" s="198">
        <f>[26]Mode_PA_l_f0_b1!G6</f>
        <v>4.6239999999999997</v>
      </c>
      <c r="G34" s="197">
        <f>[26]Mode_PA_l_f0_b1!H6</f>
        <v>600.49</v>
      </c>
      <c r="H34" s="197">
        <f>[26]Mode_PA_l_f0_b1!I6</f>
        <v>4.6E-6</v>
      </c>
      <c r="I34" s="221">
        <f>[26]Mode_PA_l_f0_b1!J6</f>
        <v>1.2999999999999999E-5</v>
      </c>
      <c r="J34" s="200" t="str">
        <f>[26]Mode_PA_l_f0_b1!K6</f>
        <v>p&lt;0.0001</v>
      </c>
      <c r="K34" s="321">
        <f>B34-C34</f>
        <v>0.40602513859471201</v>
      </c>
    </row>
    <row r="35" spans="1:53" ht="15.6" x14ac:dyDescent="0.25">
      <c r="A35" s="202" t="s">
        <v>79</v>
      </c>
      <c r="B35" s="202">
        <f>[27]Mode_PA_h_f0_b1!C6</f>
        <v>1.883</v>
      </c>
      <c r="C35" s="202">
        <f>[27]Mode_PA_h_f0_b1!D6</f>
        <v>1.3076358441581</v>
      </c>
      <c r="D35" s="202">
        <f>[27]Mode_PA_h_f0_b1!E6</f>
        <v>2.4573911118231799</v>
      </c>
      <c r="E35" s="203">
        <f>[27]Mode_PA_h_f0_b1!F6</f>
        <v>0.29299999999999998</v>
      </c>
      <c r="F35" s="203">
        <f>[27]Mode_PA_h_f0_b1!G6</f>
        <v>6.431</v>
      </c>
      <c r="G35" s="202">
        <f>[27]Mode_PA_h_f0_b1!H6</f>
        <v>611.84</v>
      </c>
      <c r="H35" s="202">
        <f>[27]Mode_PA_h_f0_b1!I6</f>
        <v>2.5999999999999998E-10</v>
      </c>
      <c r="I35" s="222">
        <f>[27]Mode_PA_h_f0_b1!J6</f>
        <v>1.0999999999999999E-9</v>
      </c>
      <c r="J35" s="205" t="str">
        <f>[27]Mode_PA_h_f0_b1!K6</f>
        <v>p&lt;0.0001</v>
      </c>
      <c r="K35" s="321">
        <f t="shared" ref="K35:K40" si="8">B35-C35</f>
        <v>0.57536415584190004</v>
      </c>
    </row>
    <row r="36" spans="1:53" x14ac:dyDescent="0.25">
      <c r="A36" s="202" t="s">
        <v>5</v>
      </c>
      <c r="B36" s="202">
        <f>[28]Mode_PA_f0_exc_b1!C6</f>
        <v>0.75800000000000001</v>
      </c>
      <c r="C36" s="203">
        <f>[28]Mode_PA_f0_exc_b1!D6</f>
        <v>0.334616627355586</v>
      </c>
      <c r="D36" s="203">
        <f>[28]Mode_PA_f0_exc_b1!E6</f>
        <v>1.18194911255576</v>
      </c>
      <c r="E36" s="203">
        <f>[28]Mode_PA_f0_exc_b1!F6</f>
        <v>0.216</v>
      </c>
      <c r="F36" s="203">
        <f>[28]Mode_PA_f0_exc_b1!G6</f>
        <v>3.5150000000000001</v>
      </c>
      <c r="G36" s="202">
        <f>[28]Mode_PA_f0_exc_b1!H6</f>
        <v>577.29999999999995</v>
      </c>
      <c r="H36" s="204">
        <f>[28]Mode_PA_f0_exc_b1!I6</f>
        <v>4.6999999999999999E-4</v>
      </c>
      <c r="I36" s="222">
        <f>[28]Mode_PA_f0_exc_b1!J6</f>
        <v>1E-3</v>
      </c>
      <c r="J36" s="205" t="str">
        <f>[28]Mode_PA_f0_exc_b1!K6</f>
        <v>p&lt;0.01</v>
      </c>
      <c r="K36" s="321">
        <f t="shared" si="8"/>
        <v>0.423383372644414</v>
      </c>
    </row>
    <row r="37" spans="1:53" ht="15.6" x14ac:dyDescent="0.25">
      <c r="A37" s="202" t="s">
        <v>80</v>
      </c>
      <c r="B37" s="202">
        <f>[29]Mode_PA_lh_mean_f0_b1!C6</f>
        <v>1.266</v>
      </c>
      <c r="C37" s="203">
        <f>[29]Mode_PA_lh_mean_f0_b1!D6</f>
        <v>0.82132041693241498</v>
      </c>
      <c r="D37" s="203">
        <f>[29]Mode_PA_lh_mean_f0_b1!E6</f>
        <v>1.7107818254062399</v>
      </c>
      <c r="E37" s="203">
        <f>[29]Mode_PA_lh_mean_f0_b1!F6</f>
        <v>0.22600000000000001</v>
      </c>
      <c r="F37" s="203">
        <f>[29]Mode_PA_lh_mean_f0_b1!G6</f>
        <v>5.5910000000000002</v>
      </c>
      <c r="G37" s="202">
        <f>[29]Mode_PA_lh_mean_f0_b1!H6</f>
        <v>599.52</v>
      </c>
      <c r="H37" s="204">
        <f>[29]Mode_PA_lh_mean_f0_b1!I6</f>
        <v>3.4E-8</v>
      </c>
      <c r="I37" s="222">
        <f>[29]Mode_PA_lh_mean_f0_b1!J6</f>
        <v>1.1999999999999999E-7</v>
      </c>
      <c r="J37" s="205" t="str">
        <f>[29]Mode_PA_lh_mean_f0_b1!K6</f>
        <v>p&lt;0.0001</v>
      </c>
      <c r="K37" s="321">
        <f t="shared" si="8"/>
        <v>0.44467958306758504</v>
      </c>
    </row>
    <row r="38" spans="1:53" x14ac:dyDescent="0.25">
      <c r="A38" s="206" t="s">
        <v>4</v>
      </c>
      <c r="B38" s="206">
        <f>[30]Mode_PA_l_t_b1!C6</f>
        <v>-20.690999999999999</v>
      </c>
      <c r="C38" s="206">
        <f>[30]Mode_PA_l_t_b1!D6</f>
        <v>-26.419836528801198</v>
      </c>
      <c r="D38" s="203">
        <f>[30]Mode_PA_l_t_b1!E6</f>
        <v>-14.9620935641854</v>
      </c>
      <c r="E38" s="202">
        <f>[30]Mode_PA_l_t_b1!F6</f>
        <v>2.9169999999999998</v>
      </c>
      <c r="F38" s="203">
        <f>[30]Mode_PA_l_t_b1!G6</f>
        <v>-7.0940000000000003</v>
      </c>
      <c r="G38" s="202">
        <f>[30]Mode_PA_l_t_b1!H6</f>
        <v>568.01</v>
      </c>
      <c r="H38" s="204">
        <f>[30]Mode_PA_l_t_b1!I6</f>
        <v>3.8999999999999999E-12</v>
      </c>
      <c r="I38" s="222">
        <f>[30]Mode_PA_l_t_b1!J6</f>
        <v>1.9999999999999999E-11</v>
      </c>
      <c r="J38" s="205" t="str">
        <f>[30]Mode_PA_l_t_b1!K6</f>
        <v>p&lt;0.0001</v>
      </c>
      <c r="K38" s="321">
        <f t="shared" si="8"/>
        <v>5.7288365288011995</v>
      </c>
    </row>
    <row r="39" spans="1:53" x14ac:dyDescent="0.25">
      <c r="A39" s="206" t="s">
        <v>3</v>
      </c>
      <c r="B39" s="206">
        <f>[31]Mode_PA_h_t_b1!C6</f>
        <v>-15.443</v>
      </c>
      <c r="C39" s="206">
        <f>[31]Mode_PA_h_t_b1!D6</f>
        <v>-24.026925119708402</v>
      </c>
      <c r="D39" s="203">
        <f>[31]Mode_PA_h_t_b1!E6</f>
        <v>-6.8588102465743397</v>
      </c>
      <c r="E39" s="202">
        <f>[31]Mode_PA_h_t_b1!F6</f>
        <v>4.3710000000000004</v>
      </c>
      <c r="F39" s="203">
        <f>[31]Mode_PA_h_t_b1!G6</f>
        <v>-3.5329999999999999</v>
      </c>
      <c r="G39" s="202">
        <f>[31]Mode_PA_h_t_b1!H6</f>
        <v>610.44000000000005</v>
      </c>
      <c r="H39" s="204">
        <f>[31]Mode_PA_h_t_b1!I6</f>
        <v>4.4000000000000002E-4</v>
      </c>
      <c r="I39" s="204">
        <f>[31]Mode_PA_h_t_b1!J6</f>
        <v>9.6000000000000002E-4</v>
      </c>
      <c r="J39" s="205" t="str">
        <f>[31]Mode_PA_h_t_b1!K6</f>
        <v>p&lt;0.001</v>
      </c>
      <c r="K39" s="321">
        <f t="shared" si="8"/>
        <v>8.5839251197084021</v>
      </c>
    </row>
    <row r="40" spans="1:53" ht="13.8" thickBot="1" x14ac:dyDescent="0.3">
      <c r="A40" s="208" t="s">
        <v>26</v>
      </c>
      <c r="B40" s="209">
        <f>[32]Mode_PA_lh_slope_b1!C6</f>
        <v>3.4950000000000001</v>
      </c>
      <c r="C40" s="209">
        <f>[32]Mode_PA_lh_slope_b1!D6</f>
        <v>0.95469978089888397</v>
      </c>
      <c r="D40" s="209">
        <f>[32]Mode_PA_lh_slope_b1!E6</f>
        <v>6.0344084463225203</v>
      </c>
      <c r="E40" s="209">
        <f>[32]Mode_PA_lh_slope_b1!F6</f>
        <v>1.2929999999999999</v>
      </c>
      <c r="F40" s="209">
        <f>[32]Mode_PA_lh_slope_b1!G6</f>
        <v>2.7029999999999998</v>
      </c>
      <c r="G40" s="208">
        <f>[32]Mode_PA_lh_slope_b1!H6</f>
        <v>561</v>
      </c>
      <c r="H40" s="210">
        <f>[32]Mode_PA_lh_slope_b1!I6</f>
        <v>7.0000000000000001E-3</v>
      </c>
      <c r="I40" s="210">
        <f>[32]Mode_PA_lh_slope_b1!J6</f>
        <v>1.0999999999999999E-2</v>
      </c>
      <c r="J40" s="211" t="str">
        <f>[32]Mode_PA_lh_slope_b1!K6</f>
        <v>p&lt;0.05</v>
      </c>
      <c r="K40" s="321">
        <f t="shared" si="8"/>
        <v>2.5403002191011161</v>
      </c>
      <c r="L40" s="214"/>
      <c r="M40" s="214"/>
      <c r="N40" s="214"/>
      <c r="O40" s="213"/>
      <c r="P40" s="213"/>
      <c r="Q40" s="213"/>
      <c r="U40" s="214"/>
      <c r="V40" s="214"/>
      <c r="W40" s="214"/>
      <c r="X40" s="213"/>
      <c r="Y40" s="213"/>
      <c r="Z40" s="213"/>
      <c r="AD40" s="214"/>
      <c r="AE40" s="214"/>
      <c r="AF40" s="214"/>
      <c r="AG40" s="213"/>
      <c r="AH40" s="213"/>
      <c r="AI40" s="213"/>
      <c r="AM40" s="214"/>
      <c r="AN40" s="214"/>
      <c r="AO40" s="214"/>
      <c r="AP40" s="213"/>
      <c r="AQ40" s="213"/>
      <c r="AR40" s="213"/>
      <c r="AV40" s="214"/>
      <c r="AW40" s="214"/>
      <c r="AX40" s="214"/>
      <c r="AY40" s="213"/>
      <c r="AZ40" s="213"/>
      <c r="BA40" s="213"/>
    </row>
    <row r="41" spans="1:53" ht="14.4" thickTop="1" thickBot="1" x14ac:dyDescent="0.3">
      <c r="A41" s="194" t="s">
        <v>76</v>
      </c>
      <c r="B41" s="194" t="str">
        <f t="shared" ref="B41:H41" si="9">B1</f>
        <v>est.</v>
      </c>
      <c r="C41" s="194" t="str">
        <f t="shared" si="9"/>
        <v>2.5% CI</v>
      </c>
      <c r="D41" s="194" t="str">
        <f t="shared" si="9"/>
        <v>07.5% CI</v>
      </c>
      <c r="E41" s="194" t="str">
        <f t="shared" si="9"/>
        <v>std.error</v>
      </c>
      <c r="F41" s="194" t="str">
        <f t="shared" si="9"/>
        <v>t</v>
      </c>
      <c r="G41" s="219" t="str">
        <f t="shared" si="9"/>
        <v>df</v>
      </c>
      <c r="H41" s="195" t="str">
        <f t="shared" si="9"/>
        <v>p. val.</v>
      </c>
      <c r="I41" s="195" t="s">
        <v>77</v>
      </c>
      <c r="J41" s="215" t="str">
        <f>J9</f>
        <v>sig.</v>
      </c>
      <c r="K41" s="320" t="s">
        <v>105</v>
      </c>
      <c r="L41" s="214"/>
      <c r="M41" s="214"/>
      <c r="N41" s="214"/>
      <c r="O41" s="213"/>
      <c r="P41" s="213"/>
      <c r="Q41" s="213"/>
      <c r="U41" s="214"/>
      <c r="V41" s="214"/>
      <c r="W41" s="214"/>
      <c r="X41" s="213"/>
      <c r="Y41" s="213"/>
      <c r="Z41" s="213"/>
      <c r="AD41" s="214"/>
      <c r="AE41" s="214"/>
      <c r="AF41" s="214"/>
      <c r="AG41" s="213"/>
      <c r="AH41" s="213"/>
      <c r="AI41" s="213"/>
      <c r="AM41" s="214"/>
      <c r="AN41" s="214"/>
      <c r="AO41" s="214"/>
      <c r="AP41" s="213"/>
      <c r="AQ41" s="213"/>
      <c r="AR41" s="213"/>
      <c r="AV41" s="214"/>
      <c r="AW41" s="214"/>
      <c r="AX41" s="214"/>
      <c r="AY41" s="213"/>
      <c r="AZ41" s="213"/>
      <c r="BA41" s="213"/>
    </row>
    <row r="42" spans="1:53" ht="16.2" thickTop="1" x14ac:dyDescent="0.25">
      <c r="A42" s="197" t="s">
        <v>78</v>
      </c>
      <c r="B42" s="197">
        <f>[26]Mode_PA_l_f0_b1!C7</f>
        <v>-0.14599999999999999</v>
      </c>
      <c r="C42" s="197">
        <f>[26]Mode_PA_l_f0_b1!D7</f>
        <v>-0.56249167780578202</v>
      </c>
      <c r="D42" s="197">
        <f>[26]Mode_PA_l_f0_b1!E7</f>
        <v>0.270458625601048</v>
      </c>
      <c r="E42" s="198">
        <f>[26]Mode_PA_l_f0_b1!F7</f>
        <v>0.21199999999999999</v>
      </c>
      <c r="F42" s="198">
        <f>[26]Mode_PA_l_f0_b1!G7</f>
        <v>-0.68899999999999995</v>
      </c>
      <c r="G42" s="197">
        <f>[26]Mode_PA_l_f0_b1!H7</f>
        <v>600.35</v>
      </c>
      <c r="H42" s="199">
        <f>[26]Mode_PA_l_f0_b1!I7</f>
        <v>0.49099999999999999</v>
      </c>
      <c r="I42" s="199">
        <f>[26]Mode_PA_l_f0_b1!J7</f>
        <v>0.57199999999999995</v>
      </c>
      <c r="J42" s="200">
        <f>[26]Mode_PA_l_f0_b1!K7</f>
        <v>0</v>
      </c>
      <c r="K42" s="321">
        <f>B42-C42</f>
        <v>0.416491677805782</v>
      </c>
      <c r="L42" s="214"/>
      <c r="M42" s="214"/>
      <c r="N42" s="214"/>
      <c r="O42" s="213"/>
      <c r="P42" s="213"/>
      <c r="Q42" s="213"/>
      <c r="U42" s="214"/>
      <c r="V42" s="214"/>
      <c r="W42" s="214"/>
      <c r="X42" s="213"/>
      <c r="Y42" s="213"/>
      <c r="Z42" s="213"/>
      <c r="AD42" s="214"/>
      <c r="AE42" s="214"/>
      <c r="AF42" s="214"/>
      <c r="AG42" s="213"/>
      <c r="AH42" s="213"/>
      <c r="AI42" s="213"/>
      <c r="AM42" s="214"/>
      <c r="AN42" s="214"/>
      <c r="AO42" s="214"/>
      <c r="AP42" s="213"/>
      <c r="AQ42" s="213"/>
      <c r="AR42" s="213"/>
      <c r="AV42" s="214"/>
      <c r="AW42" s="214"/>
      <c r="AX42" s="214"/>
      <c r="AY42" s="213"/>
      <c r="AZ42" s="213"/>
      <c r="BA42" s="213"/>
    </row>
    <row r="43" spans="1:53" ht="15.6" x14ac:dyDescent="0.25">
      <c r="A43" s="202" t="s">
        <v>79</v>
      </c>
      <c r="B43" s="202">
        <f>[27]Mode_PA_h_f0_b1!C7</f>
        <v>1.171</v>
      </c>
      <c r="C43" s="202">
        <f>[27]Mode_PA_h_f0_b1!D7</f>
        <v>0.57785820696894397</v>
      </c>
      <c r="D43" s="202">
        <f>[27]Mode_PA_h_f0_b1!E7</f>
        <v>1.7636781799102601</v>
      </c>
      <c r="E43" s="203">
        <f>[27]Mode_PA_h_f0_b1!F7</f>
        <v>0.30199999999999999</v>
      </c>
      <c r="F43" s="203">
        <f>[27]Mode_PA_h_f0_b1!G7</f>
        <v>3.8780000000000001</v>
      </c>
      <c r="G43" s="202">
        <f>[27]Mode_PA_h_f0_b1!H7</f>
        <v>611.64</v>
      </c>
      <c r="H43" s="204">
        <f>[27]Mode_PA_h_f0_b1!I7</f>
        <v>1.2E-4</v>
      </c>
      <c r="I43" s="204">
        <f>[27]Mode_PA_h_f0_b1!J7</f>
        <v>3.1E-4</v>
      </c>
      <c r="J43" s="205" t="str">
        <f>[27]Mode_PA_h_f0_b1!K7</f>
        <v>p&lt;0.001</v>
      </c>
      <c r="K43" s="321">
        <f t="shared" ref="K43:K48" si="10">B43-C43</f>
        <v>0.59314179303105607</v>
      </c>
      <c r="L43" s="214"/>
      <c r="M43" s="214"/>
      <c r="N43" s="214"/>
      <c r="O43" s="213"/>
      <c r="P43" s="213"/>
      <c r="Q43" s="213"/>
      <c r="U43" s="214"/>
      <c r="V43" s="214"/>
      <c r="W43" s="214"/>
      <c r="X43" s="213"/>
      <c r="Y43" s="213"/>
      <c r="Z43" s="213"/>
      <c r="AD43" s="214"/>
      <c r="AE43" s="214"/>
      <c r="AF43" s="214"/>
      <c r="AG43" s="213"/>
      <c r="AH43" s="213"/>
      <c r="AI43" s="213"/>
      <c r="AM43" s="214"/>
      <c r="AN43" s="214"/>
      <c r="AO43" s="214"/>
      <c r="AP43" s="213"/>
      <c r="AQ43" s="213"/>
      <c r="AR43" s="213"/>
      <c r="AV43" s="214"/>
      <c r="AW43" s="214"/>
      <c r="AX43" s="214"/>
      <c r="AY43" s="213"/>
      <c r="AZ43" s="213"/>
      <c r="BA43" s="213"/>
    </row>
    <row r="44" spans="1:53" x14ac:dyDescent="0.25">
      <c r="A44" s="202" t="s">
        <v>5</v>
      </c>
      <c r="B44" s="202">
        <f>[28]Mode_PA_f0_exc_b1!C7</f>
        <v>1.056</v>
      </c>
      <c r="C44" s="203">
        <f>[28]Mode_PA_f0_exc_b1!D7</f>
        <v>0.61895505458744304</v>
      </c>
      <c r="D44" s="203">
        <f>[28]Mode_PA_f0_exc_b1!E7</f>
        <v>1.49291007764939</v>
      </c>
      <c r="E44" s="203">
        <f>[28]Mode_PA_f0_exc_b1!F7</f>
        <v>0.222</v>
      </c>
      <c r="F44" s="203">
        <f>[28]Mode_PA_f0_exc_b1!G7</f>
        <v>4.7460000000000004</v>
      </c>
      <c r="G44" s="202">
        <f>[28]Mode_PA_f0_exc_b1!H7</f>
        <v>584.46</v>
      </c>
      <c r="H44" s="203">
        <f>[28]Mode_PA_f0_exc_b1!I7</f>
        <v>2.6000000000000001E-6</v>
      </c>
      <c r="I44" s="203">
        <f>[28]Mode_PA_f0_exc_b1!J7</f>
        <v>7.9000000000000006E-6</v>
      </c>
      <c r="J44" s="205" t="str">
        <f>[28]Mode_PA_f0_exc_b1!K7</f>
        <v>p&lt;0.0001</v>
      </c>
      <c r="K44" s="321">
        <f t="shared" si="10"/>
        <v>0.43704494541255701</v>
      </c>
      <c r="L44" s="214"/>
      <c r="M44" s="214"/>
      <c r="N44" s="214"/>
      <c r="O44" s="213"/>
      <c r="P44" s="213"/>
      <c r="Q44" s="213"/>
      <c r="U44" s="214"/>
      <c r="V44" s="214"/>
      <c r="W44" s="214"/>
      <c r="X44" s="213"/>
      <c r="Y44" s="213"/>
      <c r="Z44" s="213"/>
      <c r="AD44" s="214"/>
      <c r="AE44" s="214"/>
      <c r="AF44" s="214"/>
      <c r="AG44" s="213"/>
      <c r="AH44" s="213"/>
      <c r="AI44" s="213"/>
      <c r="AM44" s="214"/>
      <c r="AN44" s="214"/>
      <c r="AO44" s="214"/>
      <c r="AP44" s="213"/>
      <c r="AQ44" s="213"/>
      <c r="AR44" s="213"/>
      <c r="AV44" s="214"/>
      <c r="AW44" s="214"/>
      <c r="AX44" s="214"/>
      <c r="AY44" s="213"/>
      <c r="AZ44" s="213"/>
      <c r="BA44" s="213"/>
    </row>
    <row r="45" spans="1:53" ht="15.6" x14ac:dyDescent="0.25">
      <c r="A45" s="202" t="s">
        <v>80</v>
      </c>
      <c r="B45" s="202">
        <f>[29]Mode_PA_lh_mean_f0_b1!C7</f>
        <v>0.253</v>
      </c>
      <c r="C45" s="203">
        <f>[29]Mode_PA_lh_mean_f0_b1!D7</f>
        <v>-0.204393626527065</v>
      </c>
      <c r="D45" s="203">
        <f>[29]Mode_PA_lh_mean_f0_b1!E7</f>
        <v>0.71081667329294596</v>
      </c>
      <c r="E45" s="203">
        <f>[29]Mode_PA_lh_mean_f0_b1!F7</f>
        <v>0.23300000000000001</v>
      </c>
      <c r="F45" s="203">
        <f>[29]Mode_PA_lh_mean_f0_b1!G7</f>
        <v>1.087</v>
      </c>
      <c r="G45" s="202">
        <f>[29]Mode_PA_lh_mean_f0_b1!H7</f>
        <v>599.30999999999995</v>
      </c>
      <c r="H45" s="204">
        <f>[29]Mode_PA_lh_mean_f0_b1!I7</f>
        <v>0.27800000000000002</v>
      </c>
      <c r="I45" s="204">
        <f>[29]Mode_PA_lh_mean_f0_b1!J7</f>
        <v>0.34599999999999997</v>
      </c>
      <c r="J45" s="205">
        <f>[29]Mode_PA_lh_mean_f0_b1!K7</f>
        <v>0</v>
      </c>
      <c r="K45" s="321">
        <f t="shared" si="10"/>
        <v>0.457393626527065</v>
      </c>
      <c r="L45" s="214"/>
      <c r="M45" s="214"/>
      <c r="N45" s="214"/>
      <c r="O45" s="213"/>
      <c r="P45" s="213"/>
      <c r="Q45" s="213"/>
      <c r="U45" s="214"/>
      <c r="V45" s="214"/>
      <c r="W45" s="214"/>
      <c r="X45" s="213"/>
      <c r="Y45" s="213"/>
      <c r="Z45" s="213"/>
      <c r="AD45" s="214"/>
      <c r="AE45" s="214"/>
      <c r="AF45" s="214"/>
      <c r="AG45" s="213"/>
      <c r="AH45" s="213"/>
      <c r="AI45" s="213"/>
      <c r="AM45" s="214"/>
      <c r="AN45" s="214"/>
      <c r="AO45" s="214"/>
      <c r="AP45" s="213"/>
      <c r="AQ45" s="213"/>
      <c r="AR45" s="213"/>
      <c r="AV45" s="214"/>
      <c r="AW45" s="214"/>
      <c r="AX45" s="214"/>
      <c r="AY45" s="213"/>
      <c r="AZ45" s="213"/>
      <c r="BA45" s="213"/>
    </row>
    <row r="46" spans="1:53" x14ac:dyDescent="0.25">
      <c r="A46" s="206" t="s">
        <v>4</v>
      </c>
      <c r="B46" s="206">
        <f>[30]Mode_PA_l_t_b1!C7</f>
        <v>-22.434999999999999</v>
      </c>
      <c r="C46" s="206">
        <f>[30]Mode_PA_l_t_b1!D7</f>
        <v>-28.356812442248</v>
      </c>
      <c r="D46" s="206">
        <f>[30]Mode_PA_l_t_b1!E7</f>
        <v>-16.512322761843802</v>
      </c>
      <c r="E46" s="202">
        <f>[30]Mode_PA_l_t_b1!F7</f>
        <v>3.0150000000000001</v>
      </c>
      <c r="F46" s="203">
        <f>[30]Mode_PA_l_t_b1!G7</f>
        <v>-7.44</v>
      </c>
      <c r="G46" s="202">
        <f>[30]Mode_PA_l_t_b1!H7</f>
        <v>578.39</v>
      </c>
      <c r="H46" s="203">
        <f>[30]Mode_PA_l_t_b1!I7</f>
        <v>3.6999999999999999E-13</v>
      </c>
      <c r="I46" s="222">
        <f>[30]Mode_PA_l_t_b1!J7</f>
        <v>2E-12</v>
      </c>
      <c r="J46" s="205" t="str">
        <f>[30]Mode_PA_l_t_b1!K7</f>
        <v>p&lt;0.0001</v>
      </c>
      <c r="K46" s="321">
        <f t="shared" si="10"/>
        <v>5.921812442248001</v>
      </c>
      <c r="L46" s="214"/>
      <c r="M46" s="214"/>
      <c r="N46" s="214"/>
      <c r="O46" s="213"/>
      <c r="P46" s="213"/>
      <c r="Q46" s="213"/>
      <c r="U46" s="214"/>
      <c r="V46" s="214"/>
      <c r="W46" s="214"/>
      <c r="X46" s="213"/>
      <c r="Y46" s="213"/>
      <c r="Z46" s="213"/>
      <c r="AD46" s="214"/>
      <c r="AE46" s="214"/>
      <c r="AF46" s="214"/>
      <c r="AG46" s="213"/>
      <c r="AH46" s="213"/>
      <c r="AI46" s="213"/>
      <c r="AM46" s="214"/>
      <c r="AN46" s="214"/>
      <c r="AO46" s="214"/>
      <c r="AP46" s="213"/>
      <c r="AQ46" s="213"/>
      <c r="AR46" s="213"/>
      <c r="AV46" s="214"/>
      <c r="AW46" s="214"/>
      <c r="AX46" s="214"/>
      <c r="AY46" s="213"/>
      <c r="AZ46" s="213"/>
      <c r="BA46" s="213"/>
    </row>
    <row r="47" spans="1:53" x14ac:dyDescent="0.25">
      <c r="A47" s="206" t="s">
        <v>3</v>
      </c>
      <c r="B47" s="206">
        <f>[31]Mode_PA_h_t_b1!C7</f>
        <v>-15.815</v>
      </c>
      <c r="C47" s="206">
        <f>[31]Mode_PA_h_t_b1!D7</f>
        <v>-24.6670214009829</v>
      </c>
      <c r="D47" s="206">
        <f>[31]Mode_PA_h_t_b1!E7</f>
        <v>-6.96242784827054</v>
      </c>
      <c r="E47" s="202">
        <f>[31]Mode_PA_h_t_b1!F7</f>
        <v>4.508</v>
      </c>
      <c r="F47" s="203">
        <f>[31]Mode_PA_h_t_b1!G7</f>
        <v>-3.508</v>
      </c>
      <c r="G47" s="202">
        <f>[31]Mode_PA_h_t_b1!H7</f>
        <v>610.03</v>
      </c>
      <c r="H47" s="204">
        <f>[31]Mode_PA_h_t_b1!I7</f>
        <v>4.8000000000000001E-4</v>
      </c>
      <c r="I47" s="204">
        <f>[31]Mode_PA_h_t_b1!J7</f>
        <v>1E-3</v>
      </c>
      <c r="J47" s="205" t="str">
        <f>[31]Mode_PA_h_t_b1!K7</f>
        <v>p&lt;0.01</v>
      </c>
      <c r="K47" s="321">
        <f t="shared" si="10"/>
        <v>8.8520214009829008</v>
      </c>
      <c r="L47" s="214"/>
      <c r="M47" s="214"/>
      <c r="N47" s="214"/>
      <c r="O47" s="213"/>
      <c r="P47" s="213"/>
      <c r="Q47" s="213"/>
      <c r="U47" s="214"/>
      <c r="V47" s="214"/>
      <c r="W47" s="214"/>
      <c r="X47" s="213"/>
      <c r="Y47" s="213"/>
      <c r="Z47" s="213"/>
      <c r="AD47" s="214"/>
      <c r="AE47" s="214"/>
      <c r="AF47" s="214"/>
      <c r="AG47" s="213"/>
      <c r="AH47" s="213"/>
      <c r="AI47" s="213"/>
      <c r="AM47" s="214"/>
      <c r="AN47" s="214"/>
      <c r="AO47" s="214"/>
      <c r="AP47" s="213"/>
      <c r="AQ47" s="213"/>
      <c r="AR47" s="213"/>
      <c r="AV47" s="214"/>
      <c r="AW47" s="214"/>
      <c r="AX47" s="214"/>
      <c r="AY47" s="213"/>
      <c r="AZ47" s="213"/>
      <c r="BA47" s="213"/>
    </row>
    <row r="48" spans="1:53" x14ac:dyDescent="0.25">
      <c r="A48" s="208" t="s">
        <v>26</v>
      </c>
      <c r="B48" s="209">
        <f>[32]Mode_PA_lh_slope_b1!C7</f>
        <v>5</v>
      </c>
      <c r="C48" s="209">
        <f>[32]Mode_PA_lh_slope_b1!D7</f>
        <v>2.3808364356331899</v>
      </c>
      <c r="D48" s="209">
        <f>[32]Mode_PA_lh_slope_b1!E7</f>
        <v>7.6183752312346096</v>
      </c>
      <c r="E48" s="209">
        <f>[32]Mode_PA_lh_slope_b1!F7</f>
        <v>1.333</v>
      </c>
      <c r="F48" s="209">
        <f>[32]Mode_PA_lh_slope_b1!G7</f>
        <v>3.75</v>
      </c>
      <c r="G48" s="208">
        <f>[32]Mode_PA_lh_slope_b1!H7</f>
        <v>570.86</v>
      </c>
      <c r="H48" s="210">
        <f>[32]Mode_PA_lh_slope_b1!I7</f>
        <v>2.0000000000000001E-4</v>
      </c>
      <c r="I48" s="210">
        <f>[32]Mode_PA_lh_slope_b1!J7</f>
        <v>4.8000000000000001E-4</v>
      </c>
      <c r="J48" s="211" t="str">
        <f>[32]Mode_PA_lh_slope_b1!K7</f>
        <v>p&lt;0.001</v>
      </c>
      <c r="K48" s="321">
        <f t="shared" si="10"/>
        <v>2.6191635643668101</v>
      </c>
      <c r="L48" s="214"/>
      <c r="M48" s="214"/>
      <c r="N48" s="214"/>
      <c r="O48" s="213"/>
      <c r="P48" s="213"/>
      <c r="Q48" s="213"/>
      <c r="U48" s="214"/>
      <c r="V48" s="214"/>
      <c r="W48" s="214"/>
      <c r="X48" s="213"/>
      <c r="Y48" s="213"/>
      <c r="Z48" s="213"/>
      <c r="AD48" s="214"/>
      <c r="AE48" s="214"/>
      <c r="AF48" s="214"/>
      <c r="AG48" s="213"/>
      <c r="AH48" s="213"/>
      <c r="AI48" s="213"/>
      <c r="AM48" s="214"/>
      <c r="AN48" s="214"/>
      <c r="AO48" s="214"/>
      <c r="AP48" s="213"/>
      <c r="AQ48" s="213"/>
      <c r="AR48" s="213"/>
      <c r="AV48" s="214"/>
      <c r="AW48" s="214"/>
      <c r="AX48" s="214"/>
      <c r="AY48" s="213"/>
      <c r="AZ48" s="213"/>
      <c r="BA48" s="213"/>
    </row>
  </sheetData>
  <conditionalFormatting sqref="H6:I8 H2:I4 H46:I48 H42:I44 H38:I40 H34:I36 H30:I32 H26:I28 H22:I24 H18:I20 H14:I16 H10:I12">
    <cfRule type="cellIs" dxfId="220" priority="15" stopIfTrue="1" operator="lessThan">
      <formula>0.0001</formula>
    </cfRule>
    <cfRule type="cellIs" dxfId="219" priority="16" stopIfTrue="1" operator="lessThan">
      <formula>0.001</formula>
    </cfRule>
    <cfRule type="cellIs" dxfId="218" priority="17" stopIfTrue="1" operator="lessThan">
      <formula>0.05</formula>
    </cfRule>
    <cfRule type="cellIs" dxfId="217" priority="18" stopIfTrue="1" operator="lessThan">
      <formula>0.1</formula>
    </cfRule>
  </conditionalFormatting>
  <conditionalFormatting sqref="J46:J48 J42:J44 J34:J36 J38:J40 J30:J32 J26:J28 J22:J24 J18:J20 J14:J16 J10:J12 J6:J8 J2:J4">
    <cfRule type="containsText" dxfId="216" priority="10" stopIfTrue="1" operator="containsText" text="p&lt;0.0001">
      <formula>NOT(ISERROR(SEARCH("p&lt;0.0001",J2)))</formula>
    </cfRule>
    <cfRule type="containsText" dxfId="215" priority="11" stopIfTrue="1" operator="containsText" text="p&lt;0.001">
      <formula>NOT(ISERROR(SEARCH("p&lt;0.001",J2)))</formula>
    </cfRule>
    <cfRule type="containsText" dxfId="214" priority="12" stopIfTrue="1" operator="containsText" text="p&lt;0.01">
      <formula>NOT(ISERROR(SEARCH("p&lt;0.01",J2)))</formula>
    </cfRule>
    <cfRule type="containsText" dxfId="213" priority="13" stopIfTrue="1" operator="containsText" text="p&lt;0.05">
      <formula>NOT(ISERROR(SEARCH("p&lt;0.05",J2)))</formula>
    </cfRule>
    <cfRule type="containsText" dxfId="212" priority="14" stopIfTrue="1" operator="containsText" text="p&lt;0.1">
      <formula>NOT(ISERROR(SEARCH("p&lt;0.1",J2)))</formula>
    </cfRule>
  </conditionalFormatting>
  <conditionalFormatting sqref="H5:I5 H45:I45 H37:I37 H29:I29 H21:I21 H13:I13">
    <cfRule type="cellIs" dxfId="211" priority="6" stopIfTrue="1" operator="lessThan">
      <formula>0.0001</formula>
    </cfRule>
    <cfRule type="cellIs" dxfId="210" priority="7" stopIfTrue="1" operator="lessThan">
      <formula>0.001</formula>
    </cfRule>
    <cfRule type="cellIs" dxfId="209" priority="8" stopIfTrue="1" operator="lessThan">
      <formula>0.05</formula>
    </cfRule>
    <cfRule type="cellIs" dxfId="208" priority="9" stopIfTrue="1" operator="lessThan">
      <formula>0.1</formula>
    </cfRule>
  </conditionalFormatting>
  <conditionalFormatting sqref="J45 J37 J29 J21 J13 J5">
    <cfRule type="containsText" dxfId="207" priority="1" stopIfTrue="1" operator="containsText" text="p&lt;0.0001">
      <formula>NOT(ISERROR(SEARCH("p&lt;0.0001",J5)))</formula>
    </cfRule>
    <cfRule type="containsText" dxfId="206" priority="2" stopIfTrue="1" operator="containsText" text="p&lt;0.001">
      <formula>NOT(ISERROR(SEARCH("p&lt;0.001",J5)))</formula>
    </cfRule>
    <cfRule type="containsText" dxfId="205" priority="3" stopIfTrue="1" operator="containsText" text="p&lt;0.01">
      <formula>NOT(ISERROR(SEARCH("p&lt;0.01",J5)))</formula>
    </cfRule>
    <cfRule type="containsText" dxfId="204" priority="4" stopIfTrue="1" operator="containsText" text="p&lt;0.05">
      <formula>NOT(ISERROR(SEARCH("p&lt;0.05",J5)))</formula>
    </cfRule>
    <cfRule type="containsText" dxfId="203" priority="5" stopIfTrue="1" operator="containsText" text="p&lt;0.1">
      <formula>NOT(ISERROR(SEARCH("p&lt;0.1",J5)))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M11"/>
  <sheetViews>
    <sheetView showGridLines="0" zoomScale="70" zoomScaleNormal="70" zoomScaleSheetLayoutView="47" workbookViewId="0">
      <selection activeCell="E8" sqref="E8"/>
    </sheetView>
  </sheetViews>
  <sheetFormatPr defaultColWidth="13.88671875" defaultRowHeight="13.8" x14ac:dyDescent="0.3"/>
  <cols>
    <col min="1" max="1" width="10.6640625" style="93" customWidth="1"/>
    <col min="2" max="3" width="7.6640625" style="90" customWidth="1"/>
    <col min="4" max="5" width="11.44140625" style="90" customWidth="1"/>
    <col min="6" max="7" width="8.6640625" style="90" customWidth="1"/>
    <col min="8" max="8" width="11.44140625" style="90" customWidth="1"/>
    <col min="9" max="9" width="11.109375" style="92" customWidth="1"/>
    <col min="10" max="10" width="11.44140625" style="92" customWidth="1"/>
    <col min="11" max="12" width="7.6640625" style="90" customWidth="1"/>
    <col min="13" max="14" width="11.44140625" style="90" customWidth="1"/>
    <col min="15" max="16" width="8.6640625" style="90" customWidth="1"/>
    <col min="17" max="17" width="11.44140625" style="90" customWidth="1"/>
    <col min="18" max="18" width="11.109375" style="91" customWidth="1"/>
    <col min="19" max="19" width="11.44140625" style="91" customWidth="1"/>
    <col min="20" max="21" width="7.6640625" style="90" customWidth="1"/>
    <col min="22" max="23" width="11.44140625" style="90" customWidth="1"/>
    <col min="24" max="25" width="8.6640625" style="90" customWidth="1"/>
    <col min="26" max="26" width="11.44140625" style="90" customWidth="1"/>
    <col min="27" max="27" width="11.109375" style="91" customWidth="1"/>
    <col min="28" max="28" width="11.44140625" style="91" customWidth="1"/>
    <col min="29" max="30" width="7.6640625" style="90" customWidth="1"/>
    <col min="31" max="32" width="11.44140625" style="90" customWidth="1"/>
    <col min="33" max="33" width="8.6640625" style="90" customWidth="1"/>
    <col min="34" max="35" width="11.44140625" style="90" customWidth="1"/>
    <col min="36" max="36" width="11.109375" style="91" customWidth="1"/>
    <col min="37" max="37" width="11.44140625" style="91" customWidth="1"/>
    <col min="38" max="39" width="11.44140625" style="90" customWidth="1"/>
    <col min="40" max="16384" width="13.88671875" style="89"/>
  </cols>
  <sheetData>
    <row r="1" spans="1:39" s="134" customFormat="1" ht="33.6" customHeight="1" thickBot="1" x14ac:dyDescent="0.35">
      <c r="A1" s="165" t="s">
        <v>37</v>
      </c>
      <c r="B1" s="337" t="s">
        <v>33</v>
      </c>
      <c r="C1" s="338"/>
      <c r="D1" s="338"/>
      <c r="E1" s="338"/>
      <c r="F1" s="338"/>
      <c r="G1" s="338"/>
      <c r="H1" s="338"/>
      <c r="I1" s="338"/>
      <c r="J1" s="339"/>
      <c r="K1" s="340" t="s">
        <v>34</v>
      </c>
      <c r="L1" s="338"/>
      <c r="M1" s="338"/>
      <c r="N1" s="338"/>
      <c r="O1" s="338"/>
      <c r="P1" s="338"/>
      <c r="Q1" s="338"/>
      <c r="R1" s="338"/>
      <c r="S1" s="341"/>
      <c r="T1" s="342" t="s">
        <v>35</v>
      </c>
      <c r="U1" s="343"/>
      <c r="V1" s="343"/>
      <c r="W1" s="343"/>
      <c r="X1" s="343"/>
      <c r="Y1" s="343"/>
      <c r="Z1" s="343"/>
      <c r="AA1" s="343"/>
      <c r="AB1" s="343"/>
      <c r="AC1" s="344" t="s">
        <v>36</v>
      </c>
      <c r="AD1" s="345"/>
      <c r="AE1" s="345"/>
      <c r="AF1" s="345"/>
      <c r="AG1" s="345"/>
      <c r="AH1" s="345"/>
      <c r="AI1" s="345"/>
      <c r="AJ1" s="345"/>
      <c r="AK1" s="345"/>
      <c r="AL1" s="346" t="s">
        <v>29</v>
      </c>
      <c r="AM1" s="347"/>
    </row>
    <row r="2" spans="1:39" s="135" customFormat="1" ht="33.6" customHeight="1" thickTop="1" thickBot="1" x14ac:dyDescent="0.35">
      <c r="A2" s="156" t="s">
        <v>28</v>
      </c>
      <c r="B2" s="164" t="s">
        <v>57</v>
      </c>
      <c r="C2" s="156" t="s">
        <v>2</v>
      </c>
      <c r="D2" s="156" t="s">
        <v>56</v>
      </c>
      <c r="E2" s="156" t="s">
        <v>11</v>
      </c>
      <c r="F2" s="156" t="s">
        <v>8</v>
      </c>
      <c r="G2" s="156" t="s">
        <v>12</v>
      </c>
      <c r="H2" s="159" t="s">
        <v>22</v>
      </c>
      <c r="I2" s="163" t="str">
        <f>[13]Mode_PA_l_f0_b0!I1</f>
        <v>p.adj (BH)</v>
      </c>
      <c r="J2" s="162" t="s">
        <v>27</v>
      </c>
      <c r="K2" s="161" t="str">
        <f t="shared" ref="K2:S2" si="0">B2</f>
        <v>β0</v>
      </c>
      <c r="L2" s="156" t="str">
        <f t="shared" si="0"/>
        <v xml:space="preserve">SE </v>
      </c>
      <c r="M2" s="156" t="str">
        <f t="shared" si="0"/>
        <v>2.5%  CI</v>
      </c>
      <c r="N2" s="156" t="str">
        <f t="shared" si="0"/>
        <v>97.5% CI</v>
      </c>
      <c r="O2" s="156" t="str">
        <f t="shared" si="0"/>
        <v>t</v>
      </c>
      <c r="P2" s="160" t="str">
        <f t="shared" si="0"/>
        <v>df</v>
      </c>
      <c r="Q2" s="159" t="str">
        <f t="shared" si="0"/>
        <v>p. val.</v>
      </c>
      <c r="R2" s="159" t="str">
        <f t="shared" si="0"/>
        <v>p.adj (BH)</v>
      </c>
      <c r="S2" s="158" t="str">
        <f t="shared" si="0"/>
        <v>sig.</v>
      </c>
      <c r="T2" s="157" t="str">
        <f t="shared" ref="T2:AB2" si="1">B2</f>
        <v>β0</v>
      </c>
      <c r="U2" s="156" t="str">
        <f t="shared" si="1"/>
        <v xml:space="preserve">SE </v>
      </c>
      <c r="V2" s="156" t="str">
        <f t="shared" si="1"/>
        <v>2.5%  CI</v>
      </c>
      <c r="W2" s="156" t="str">
        <f t="shared" si="1"/>
        <v>97.5% CI</v>
      </c>
      <c r="X2" s="156" t="str">
        <f t="shared" si="1"/>
        <v>t</v>
      </c>
      <c r="Y2" s="156" t="str">
        <f t="shared" si="1"/>
        <v>df</v>
      </c>
      <c r="Z2" s="159" t="str">
        <f t="shared" si="1"/>
        <v>p. val.</v>
      </c>
      <c r="AA2" s="159" t="str">
        <f t="shared" si="1"/>
        <v>p.adj (BH)</v>
      </c>
      <c r="AB2" s="158" t="str">
        <f t="shared" si="1"/>
        <v>sig.</v>
      </c>
      <c r="AC2" s="157" t="str">
        <f t="shared" ref="AC2:AK2" si="2">B2</f>
        <v>β0</v>
      </c>
      <c r="AD2" s="156" t="str">
        <f t="shared" si="2"/>
        <v xml:space="preserve">SE </v>
      </c>
      <c r="AE2" s="156" t="str">
        <f t="shared" si="2"/>
        <v>2.5%  CI</v>
      </c>
      <c r="AF2" s="156" t="str">
        <f t="shared" si="2"/>
        <v>97.5% CI</v>
      </c>
      <c r="AG2" s="156" t="str">
        <f t="shared" si="2"/>
        <v>t</v>
      </c>
      <c r="AH2" s="156" t="str">
        <f t="shared" si="2"/>
        <v>df</v>
      </c>
      <c r="AI2" s="159" t="str">
        <f t="shared" si="2"/>
        <v>p. val.</v>
      </c>
      <c r="AJ2" s="159" t="str">
        <f t="shared" si="2"/>
        <v>p.adj (BH)</v>
      </c>
      <c r="AK2" s="158" t="str">
        <f t="shared" si="2"/>
        <v>sig.</v>
      </c>
      <c r="AL2" s="157" t="s">
        <v>65</v>
      </c>
      <c r="AM2" s="156" t="s">
        <v>66</v>
      </c>
    </row>
    <row r="3" spans="1:39" s="140" customFormat="1" ht="33.6" customHeight="1" thickTop="1" thickBot="1" x14ac:dyDescent="0.35">
      <c r="A3" s="131" t="s">
        <v>23</v>
      </c>
      <c r="B3" s="155">
        <f>[13]Mode_PA_l_f0_b0!B6</f>
        <v>83.99</v>
      </c>
      <c r="C3" s="123">
        <f>[13]Mode_PA_l_f0_b0!C6</f>
        <v>80.453351074980304</v>
      </c>
      <c r="D3" s="123">
        <f>[13]Mode_PA_l_f0_b0!D6</f>
        <v>87.527230630068203</v>
      </c>
      <c r="E3" s="123">
        <f>[13]Mode_PA_l_f0_b0!E6</f>
        <v>1.623</v>
      </c>
      <c r="F3" s="123">
        <f>[13]Mode_PA_l_f0_b0!F6</f>
        <v>51.753</v>
      </c>
      <c r="G3" s="123">
        <f>[13]Mode_PA_l_f0_b0!G6</f>
        <v>11.97</v>
      </c>
      <c r="H3" s="128">
        <f>[13]Mode_PA_l_f0_b0!H6</f>
        <v>1.9000000000000001E-15</v>
      </c>
      <c r="I3" s="128">
        <f>[13]Mode_PA_l_f0_b0!I6</f>
        <v>7.6000000000000004E-15</v>
      </c>
      <c r="J3" s="154" t="str">
        <f>[13]Mode_PA_l_f0_b0!J6</f>
        <v>p&lt;0.0001</v>
      </c>
      <c r="K3" s="153">
        <f>[13]Mode_PA_l_f0_b0!B7</f>
        <v>86.87</v>
      </c>
      <c r="L3" s="123">
        <f>[13]Mode_PA_l_f0_b0!C7</f>
        <v>83.113022861423701</v>
      </c>
      <c r="M3" s="123">
        <f>[13]Mode_PA_l_f0_b0!D7</f>
        <v>90.627605751172297</v>
      </c>
      <c r="N3" s="123">
        <f>[13]Mode_PA_l_f0_b0!E7</f>
        <v>1.7849999999999999</v>
      </c>
      <c r="O3" s="123">
        <f>[13]Mode_PA_l_f0_b0!F7</f>
        <v>48.677999999999997</v>
      </c>
      <c r="P3" s="123">
        <f>[13]Mode_PA_l_f0_b0!G7</f>
        <v>17.48</v>
      </c>
      <c r="Q3" s="128">
        <f>[13]Mode_PA_l_f0_b0!H7</f>
        <v>4.1000000000000001E-20</v>
      </c>
      <c r="R3" s="128">
        <f>[13]Mode_PA_l_f0_b0!I7</f>
        <v>1.7E-18</v>
      </c>
      <c r="S3" s="151" t="str">
        <f>[13]Mode_PA_l_f0_b0!J7</f>
        <v>p&lt;0.0001</v>
      </c>
      <c r="T3" s="152">
        <f>[13]Mode_PA_l_f0_b0!B8</f>
        <v>84.706999999999994</v>
      </c>
      <c r="U3" s="123">
        <f>[13]Mode_PA_l_f0_b0!C8</f>
        <v>81.133638575482294</v>
      </c>
      <c r="V3" s="123">
        <f>[13]Mode_PA_l_f0_b0!D8</f>
        <v>88.279591427499099</v>
      </c>
      <c r="W3" s="123">
        <f>[13]Mode_PA_l_f0_b0!E8</f>
        <v>1.6519999999999999</v>
      </c>
      <c r="X3" s="123">
        <f>[13]Mode_PA_l_f0_b0!F8</f>
        <v>51.277000000000001</v>
      </c>
      <c r="Y3" s="123">
        <f>[13]Mode_PA_l_f0_b0!G8</f>
        <v>12.85</v>
      </c>
      <c r="Z3" s="126">
        <f>[13]Mode_PA_l_f0_b0!H8</f>
        <v>2.9999999999999999E-16</v>
      </c>
      <c r="AA3" s="126">
        <f>[13]Mode_PA_l_f0_b0!I8</f>
        <v>3.6000000000000001E-15</v>
      </c>
      <c r="AB3" s="151" t="str">
        <f>[13]Mode_PA_l_f0_b0!J8</f>
        <v>p&lt;0.0001</v>
      </c>
      <c r="AC3" s="124">
        <f>[13]Mode_PA_l_f0_b0!B9</f>
        <v>86.724000000000004</v>
      </c>
      <c r="AD3" s="123">
        <f>[13]Mode_PA_l_f0_b0!C9</f>
        <v>83.164863235291506</v>
      </c>
      <c r="AE3" s="123">
        <f>[13]Mode_PA_l_f0_b0!D9</f>
        <v>90.282187472808502</v>
      </c>
      <c r="AF3" s="123">
        <f>[13]Mode_PA_l_f0_b0!E9</f>
        <v>1.641</v>
      </c>
      <c r="AG3" s="123">
        <f>[13]Mode_PA_l_f0_b0!F9</f>
        <v>52.862000000000002</v>
      </c>
      <c r="AH3" s="123">
        <f>[13]Mode_PA_l_f0_b0!G9</f>
        <v>12.5</v>
      </c>
      <c r="AI3" s="126">
        <f>[13]Mode_PA_l_f0_b0!H9</f>
        <v>4.5000000000000002E-16</v>
      </c>
      <c r="AJ3" s="126">
        <f>[13]Mode_PA_l_f0_b0!I9</f>
        <v>4.1999999999999996E-15</v>
      </c>
      <c r="AK3" s="151" t="str">
        <f>[13]Mode_PA_l_f0_b0!J9</f>
        <v>p&lt;0.0001</v>
      </c>
      <c r="AL3" s="124">
        <v>0.59399956709452595</v>
      </c>
      <c r="AM3" s="123">
        <v>0.94023014769888502</v>
      </c>
    </row>
    <row r="4" spans="1:39" s="140" customFormat="1" ht="33.6" customHeight="1" thickBot="1" x14ac:dyDescent="0.35">
      <c r="A4" s="150" t="s">
        <v>24</v>
      </c>
      <c r="B4" s="149">
        <f>[15]Mode_PA_h_f0_b0!B6</f>
        <v>90.16</v>
      </c>
      <c r="C4" s="141">
        <f>[15]Mode_PA_h_f0_b0!C6</f>
        <v>86.123043762318801</v>
      </c>
      <c r="D4" s="141">
        <f>[15]Mode_PA_h_f0_b0!D6</f>
        <v>94.197953690226399</v>
      </c>
      <c r="E4" s="141">
        <f>[15]Mode_PA_h_f0_b0!E6</f>
        <v>1.8029999999999999</v>
      </c>
      <c r="F4" s="141">
        <f>[15]Mode_PA_h_f0_b0!F6</f>
        <v>50.005000000000003</v>
      </c>
      <c r="G4" s="141">
        <f>[15]Mode_PA_h_f0_b0!G6</f>
        <v>9.65</v>
      </c>
      <c r="H4" s="146">
        <f>[15]Mode_PA_h_f0_b0!H6</f>
        <v>5.6000000000000004E-13</v>
      </c>
      <c r="I4" s="146">
        <f>[15]Mode_PA_h_f0_b0!I6</f>
        <v>1.4000000000000001E-12</v>
      </c>
      <c r="J4" s="148" t="str">
        <f>[15]Mode_PA_h_f0_b0!J6</f>
        <v>p&lt;0.0001</v>
      </c>
      <c r="K4" s="147">
        <f>[15]Mode_PA_h_f0_b0!B7</f>
        <v>89.887</v>
      </c>
      <c r="L4" s="141">
        <f>[15]Mode_PA_h_f0_b0!C7</f>
        <v>85.459720294364303</v>
      </c>
      <c r="M4" s="141">
        <f>[15]Mode_PA_h_f0_b0!D7</f>
        <v>94.315126046853607</v>
      </c>
      <c r="N4" s="141">
        <f>[15]Mode_PA_h_f0_b0!E7</f>
        <v>2.1070000000000002</v>
      </c>
      <c r="O4" s="141">
        <f>[15]Mode_PA_h_f0_b0!F7</f>
        <v>42.664000000000001</v>
      </c>
      <c r="P4" s="141">
        <f>[15]Mode_PA_h_f0_b0!G7</f>
        <v>17.920000000000002</v>
      </c>
      <c r="Q4" s="146">
        <f>[15]Mode_PA_h_f0_b0!H7</f>
        <v>1.8000000000000001E-19</v>
      </c>
      <c r="R4" s="146">
        <f>[15]Mode_PA_h_f0_b0!I7</f>
        <v>5.0000000000000004E-18</v>
      </c>
      <c r="S4" s="143" t="str">
        <f>[15]Mode_PA_h_f0_b0!J7</f>
        <v>p&lt;0.0001</v>
      </c>
      <c r="T4" s="145">
        <f>[15]Mode_PA_h_f0_b0!B8</f>
        <v>93.736999999999995</v>
      </c>
      <c r="U4" s="141">
        <f>[15]Mode_PA_h_f0_b0!C8</f>
        <v>89.644799114240996</v>
      </c>
      <c r="V4" s="141">
        <f>[15]Mode_PA_h_f0_b0!D8</f>
        <v>97.829742285346597</v>
      </c>
      <c r="W4" s="141">
        <f>[15]Mode_PA_h_f0_b0!E8</f>
        <v>1.8560000000000001</v>
      </c>
      <c r="X4" s="141">
        <f>[15]Mode_PA_h_f0_b0!F8</f>
        <v>50.515000000000001</v>
      </c>
      <c r="Y4" s="141">
        <f>[15]Mode_PA_h_f0_b0!G8</f>
        <v>10.82</v>
      </c>
      <c r="Z4" s="144">
        <f>[15]Mode_PA_h_f0_b0!H8</f>
        <v>3.4E-14</v>
      </c>
      <c r="AA4" s="144">
        <f>[15]Mode_PA_h_f0_b0!I8</f>
        <v>1.1E-13</v>
      </c>
      <c r="AB4" s="143" t="str">
        <f>[15]Mode_PA_h_f0_b0!J8</f>
        <v>p&lt;0.0001</v>
      </c>
      <c r="AC4" s="142">
        <f>[15]Mode_PA_h_f0_b0!B9</f>
        <v>93.728999999999999</v>
      </c>
      <c r="AD4" s="141">
        <f>[15]Mode_PA_h_f0_b0!C9</f>
        <v>89.656987791724603</v>
      </c>
      <c r="AE4" s="141">
        <f>[15]Mode_PA_h_f0_b0!D9</f>
        <v>97.800438498133602</v>
      </c>
      <c r="AF4" s="141">
        <f>[15]Mode_PA_h_f0_b0!E9</f>
        <v>1.8360000000000001</v>
      </c>
      <c r="AG4" s="141">
        <f>[15]Mode_PA_h_f0_b0!F9</f>
        <v>51.037999999999997</v>
      </c>
      <c r="AH4" s="141">
        <f>[15]Mode_PA_h_f0_b0!G9</f>
        <v>10.38</v>
      </c>
      <c r="AI4" s="144">
        <f>[15]Mode_PA_h_f0_b0!H9</f>
        <v>8.3999999999999995E-14</v>
      </c>
      <c r="AJ4" s="144">
        <f>[15]Mode_PA_h_f0_b0!I9</f>
        <v>2.4999999999999999E-13</v>
      </c>
      <c r="AK4" s="143" t="str">
        <f>[15]Mode_PA_h_f0_b0!J9</f>
        <v>p&lt;0.0001</v>
      </c>
      <c r="AL4" s="142">
        <v>0.54939616986129103</v>
      </c>
      <c r="AM4" s="141">
        <v>0.90539546314142305</v>
      </c>
    </row>
    <row r="5" spans="1:39" s="135" customFormat="1" ht="33.6" customHeight="1" thickBot="1" x14ac:dyDescent="0.35">
      <c r="A5" s="120" t="s">
        <v>5</v>
      </c>
      <c r="B5" s="138">
        <f>[17]Mode_PA_f0_exc_b0!B6</f>
        <v>5.9409999999999998</v>
      </c>
      <c r="C5" s="120">
        <f>[17]Mode_PA_f0_exc_b0!C6</f>
        <v>4.9701290775966802</v>
      </c>
      <c r="D5" s="112">
        <f>[17]Mode_PA_f0_exc_b0!D6</f>
        <v>6.9117110854203503</v>
      </c>
      <c r="E5" s="112">
        <f>[17]Mode_PA_f0_exc_b0!E6</f>
        <v>0.434</v>
      </c>
      <c r="F5" s="112">
        <f>[17]Mode_PA_f0_exc_b0!F6</f>
        <v>13.682</v>
      </c>
      <c r="G5" s="112">
        <f>[17]Mode_PA_f0_exc_b0!G6</f>
        <v>9.75</v>
      </c>
      <c r="H5" s="117">
        <f>[17]Mode_PA_f0_exc_b0!H6</f>
        <v>1.1000000000000001E-7</v>
      </c>
      <c r="I5" s="117">
        <f>[17]Mode_PA_f0_exc_b0!I6</f>
        <v>2.1E-7</v>
      </c>
      <c r="J5" s="119" t="str">
        <f>[17]Mode_PA_f0_exc_b0!J6</f>
        <v>p&lt;0.0001</v>
      </c>
      <c r="K5" s="137">
        <f>[17]Mode_PA_f0_exc_b0!B7</f>
        <v>3.109</v>
      </c>
      <c r="L5" s="112">
        <f>[17]Mode_PA_f0_exc_b0!C7</f>
        <v>1.2990504532998901</v>
      </c>
      <c r="M5" s="112">
        <f>[17]Mode_PA_f0_exc_b0!D7</f>
        <v>4.9197334909255002</v>
      </c>
      <c r="N5" s="112">
        <f>[17]Mode_PA_f0_exc_b0!E7</f>
        <v>0.91600000000000004</v>
      </c>
      <c r="O5" s="112">
        <f>[17]Mode_PA_f0_exc_b0!F7</f>
        <v>3.3940000000000001</v>
      </c>
      <c r="P5" s="112">
        <f>[17]Mode_PA_f0_exc_b0!G7</f>
        <v>148.41999999999999</v>
      </c>
      <c r="Q5" s="117">
        <f>[17]Mode_PA_f0_exc_b0!H7</f>
        <v>8.8000000000000003E-4</v>
      </c>
      <c r="R5" s="117">
        <f>[17]Mode_PA_f0_exc_b0!I7</f>
        <v>1E-3</v>
      </c>
      <c r="S5" s="114" t="str">
        <f>[17]Mode_PA_f0_exc_b0!J7</f>
        <v>p&lt;0.01</v>
      </c>
      <c r="T5" s="136">
        <f>[17]Mode_PA_f0_exc_b0!B8</f>
        <v>9.5719999999999992</v>
      </c>
      <c r="U5" s="112">
        <f>[17]Mode_PA_f0_exc_b0!C8</f>
        <v>8.4512821469364905</v>
      </c>
      <c r="V5" s="112">
        <f>[17]Mode_PA_f0_exc_b0!D8</f>
        <v>10.6929057207031</v>
      </c>
      <c r="W5" s="112">
        <f>[17]Mode_PA_f0_exc_b0!E8</f>
        <v>0.54200000000000004</v>
      </c>
      <c r="X5" s="112">
        <f>[17]Mode_PA_f0_exc_b0!F8</f>
        <v>17.646000000000001</v>
      </c>
      <c r="Y5" s="112">
        <f>[17]Mode_PA_f0_exc_b0!G8</f>
        <v>23.5</v>
      </c>
      <c r="Z5" s="115">
        <f>[17]Mode_PA_f0_exc_b0!H8</f>
        <v>4.6999999999999999E-15</v>
      </c>
      <c r="AA5" s="115">
        <f>[17]Mode_PA_f0_exc_b0!I8</f>
        <v>1.7999999999999999E-14</v>
      </c>
      <c r="AB5" s="114" t="str">
        <f>[17]Mode_PA_f0_exc_b0!J8</f>
        <v>p&lt;0.0001</v>
      </c>
      <c r="AC5" s="113">
        <f>[17]Mode_PA_f0_exc_b0!B9</f>
        <v>7.1260000000000003</v>
      </c>
      <c r="AD5" s="112">
        <f>[17]Mode_PA_f0_exc_b0!C9</f>
        <v>6.06316911845225</v>
      </c>
      <c r="AE5" s="112">
        <f>[17]Mode_PA_f0_exc_b0!D9</f>
        <v>8.1884453102606294</v>
      </c>
      <c r="AF5" s="112">
        <f>[17]Mode_PA_f0_exc_b0!E9</f>
        <v>0.505</v>
      </c>
      <c r="AG5" s="112">
        <f>[17]Mode_PA_f0_exc_b0!F9</f>
        <v>14.122999999999999</v>
      </c>
      <c r="AH5" s="112">
        <f>[17]Mode_PA_f0_exc_b0!G9</f>
        <v>17.399999999999999</v>
      </c>
      <c r="AI5" s="115">
        <f>[17]Mode_PA_f0_exc_b0!H9</f>
        <v>5.8E-11</v>
      </c>
      <c r="AJ5" s="115">
        <f>[17]Mode_PA_f0_exc_b0!I9</f>
        <v>1.2999999999999999E-10</v>
      </c>
      <c r="AK5" s="114" t="str">
        <f>[17]Mode_PA_f0_exc_b0!J9</f>
        <v>p&lt;0.0001</v>
      </c>
      <c r="AL5" s="113">
        <v>0.1730903930522</v>
      </c>
      <c r="AM5" s="112">
        <v>0.69817606427779999</v>
      </c>
    </row>
    <row r="6" spans="1:39" s="135" customFormat="1" ht="33.6" customHeight="1" thickBot="1" x14ac:dyDescent="0.35">
      <c r="A6" s="139" t="s">
        <v>54</v>
      </c>
      <c r="B6" s="138">
        <f>[19]Mode_PA_lh_mean_f0_b0!B6</f>
        <v>86.733999999999995</v>
      </c>
      <c r="C6" s="120">
        <f>[19]Mode_PA_lh_mean_f0_b0!C6</f>
        <v>83.197141294763696</v>
      </c>
      <c r="D6" s="112">
        <f>[19]Mode_PA_lh_mean_f0_b0!D6</f>
        <v>90.271041269368197</v>
      </c>
      <c r="E6" s="112">
        <f>[19]Mode_PA_lh_mean_f0_b0!E6</f>
        <v>1.6220000000000001</v>
      </c>
      <c r="F6" s="112">
        <f>[19]Mode_PA_lh_mean_f0_b0!F6</f>
        <v>53.463999999999999</v>
      </c>
      <c r="G6" s="112">
        <f>[19]Mode_PA_lh_mean_f0_b0!G6</f>
        <v>11.93</v>
      </c>
      <c r="H6" s="117">
        <f>[19]Mode_PA_lh_mean_f0_b0!H6</f>
        <v>1.4000000000000001E-15</v>
      </c>
      <c r="I6" s="117">
        <f>[19]Mode_PA_lh_mean_f0_b0!I6</f>
        <v>7.0000000000000001E-15</v>
      </c>
      <c r="J6" s="119" t="str">
        <f>[19]Mode_PA_lh_mean_f0_b0!J6</f>
        <v>p&lt;0.0001</v>
      </c>
      <c r="K6" s="137">
        <f>[19]Mode_PA_lh_mean_f0_b0!B7</f>
        <v>87.731999999999999</v>
      </c>
      <c r="L6" s="112">
        <f>[19]Mode_PA_lh_mean_f0_b0!C7</f>
        <v>83.923166832717001</v>
      </c>
      <c r="M6" s="112">
        <f>[19]Mode_PA_lh_mean_f0_b0!D7</f>
        <v>91.541362826281002</v>
      </c>
      <c r="N6" s="112">
        <f>[19]Mode_PA_lh_mean_f0_b0!E7</f>
        <v>1.819</v>
      </c>
      <c r="O6" s="112">
        <f>[19]Mode_PA_lh_mean_f0_b0!F7</f>
        <v>48.241</v>
      </c>
      <c r="P6" s="112">
        <f>[19]Mode_PA_lh_mean_f0_b0!G7</f>
        <v>18.8</v>
      </c>
      <c r="Q6" s="117">
        <f>[19]Mode_PA_lh_mean_f0_b0!H7</f>
        <v>3.5999999999999999E-21</v>
      </c>
      <c r="R6" s="117">
        <f>[19]Mode_PA_lh_mean_f0_b0!I7</f>
        <v>2.9999999999999999E-19</v>
      </c>
      <c r="S6" s="114" t="str">
        <f>[19]Mode_PA_lh_mean_f0_b0!J7</f>
        <v>p&lt;0.0001</v>
      </c>
      <c r="T6" s="136">
        <f>[19]Mode_PA_lh_mean_f0_b0!B8</f>
        <v>88.947000000000003</v>
      </c>
      <c r="U6" s="112">
        <f>[19]Mode_PA_lh_mean_f0_b0!C8</f>
        <v>85.365027404622893</v>
      </c>
      <c r="V6" s="112">
        <f>[19]Mode_PA_lh_mean_f0_b0!D8</f>
        <v>92.528569885213599</v>
      </c>
      <c r="W6" s="112">
        <f>[19]Mode_PA_lh_mean_f0_b0!E8</f>
        <v>1.6579999999999999</v>
      </c>
      <c r="X6" s="112">
        <f>[19]Mode_PA_lh_mean_f0_b0!F8</f>
        <v>53.637999999999998</v>
      </c>
      <c r="Y6" s="112">
        <f>[19]Mode_PA_lh_mean_f0_b0!G8</f>
        <v>13.03</v>
      </c>
      <c r="Z6" s="115">
        <f>[19]Mode_PA_lh_mean_f0_b0!H8</f>
        <v>1.1E-16</v>
      </c>
      <c r="AA6" s="115">
        <f>[19]Mode_PA_lh_mean_f0_b0!I8</f>
        <v>2.2999999999999999E-15</v>
      </c>
      <c r="AB6" s="114" t="str">
        <f>[19]Mode_PA_lh_mean_f0_b0!J8</f>
        <v>p&lt;0.0001</v>
      </c>
      <c r="AC6" s="113">
        <f>[19]Mode_PA_lh_mean_f0_b0!B9</f>
        <v>89.912999999999997</v>
      </c>
      <c r="AD6" s="112">
        <f>[19]Mode_PA_lh_mean_f0_b0!C9</f>
        <v>86.349782420079507</v>
      </c>
      <c r="AE6" s="112">
        <f>[19]Mode_PA_lh_mean_f0_b0!D9</f>
        <v>93.476172760586294</v>
      </c>
      <c r="AF6" s="112">
        <f>[19]Mode_PA_lh_mean_f0_b0!E9</f>
        <v>1.6439999999999999</v>
      </c>
      <c r="AG6" s="112">
        <f>[19]Mode_PA_lh_mean_f0_b0!F9</f>
        <v>54.704999999999998</v>
      </c>
      <c r="AH6" s="112">
        <f>[19]Mode_PA_lh_mean_f0_b0!G9</f>
        <v>12.57</v>
      </c>
      <c r="AI6" s="115">
        <f>[19]Mode_PA_lh_mean_f0_b0!H9</f>
        <v>2.5000000000000002E-16</v>
      </c>
      <c r="AJ6" s="115">
        <f>[19]Mode_PA_lh_mean_f0_b0!I9</f>
        <v>3.5000000000000001E-15</v>
      </c>
      <c r="AK6" s="114" t="str">
        <f>[19]Mode_PA_lh_mean_f0_b0!J9</f>
        <v>p&lt;0.0001</v>
      </c>
      <c r="AL6" s="113">
        <f>[20]Mode_PA_lh_mean_f0_r2!$B$3</f>
        <v>8.4810456128037004E-2</v>
      </c>
      <c r="AM6" s="112">
        <f>[20]Mode_PA_lh_mean_f0_r2!$B$2</f>
        <v>0.93932332827405896</v>
      </c>
    </row>
    <row r="7" spans="1:39" s="134" customFormat="1" ht="33.6" customHeight="1" thickTop="1" thickBot="1" x14ac:dyDescent="0.35">
      <c r="A7" s="105" t="s">
        <v>6</v>
      </c>
      <c r="B7" s="111" t="str">
        <f t="shared" ref="B7:R7" si="3">B2</f>
        <v>β0</v>
      </c>
      <c r="C7" s="105" t="str">
        <f t="shared" si="3"/>
        <v xml:space="preserve">SE </v>
      </c>
      <c r="D7" s="105" t="str">
        <f t="shared" si="3"/>
        <v>2.5%  CI</v>
      </c>
      <c r="E7" s="105" t="str">
        <f t="shared" si="3"/>
        <v>97.5% CI</v>
      </c>
      <c r="F7" s="105" t="str">
        <f t="shared" si="3"/>
        <v>t</v>
      </c>
      <c r="G7" s="105" t="str">
        <f t="shared" si="3"/>
        <v>df</v>
      </c>
      <c r="H7" s="108" t="str">
        <f t="shared" si="3"/>
        <v>p. val.</v>
      </c>
      <c r="I7" s="108" t="str">
        <f t="shared" si="3"/>
        <v>p.adj (BH)</v>
      </c>
      <c r="J7" s="110" t="str">
        <f t="shared" si="3"/>
        <v>sig.</v>
      </c>
      <c r="K7" s="109" t="str">
        <f t="shared" si="3"/>
        <v>β0</v>
      </c>
      <c r="L7" s="105" t="str">
        <f t="shared" si="3"/>
        <v xml:space="preserve">SE </v>
      </c>
      <c r="M7" s="105" t="str">
        <f t="shared" si="3"/>
        <v>2.5%  CI</v>
      </c>
      <c r="N7" s="105" t="str">
        <f t="shared" si="3"/>
        <v>97.5% CI</v>
      </c>
      <c r="O7" s="105" t="str">
        <f t="shared" si="3"/>
        <v>t</v>
      </c>
      <c r="P7" s="105" t="str">
        <f t="shared" si="3"/>
        <v>df</v>
      </c>
      <c r="Q7" s="108" t="str">
        <f t="shared" si="3"/>
        <v>p. val.</v>
      </c>
      <c r="R7" s="108" t="str">
        <f t="shared" si="3"/>
        <v>p.adj (BH)</v>
      </c>
      <c r="S7" s="107" t="str">
        <f>J2</f>
        <v>sig.</v>
      </c>
      <c r="T7" s="106" t="str">
        <f t="shared" ref="T7:AA7" si="4">T2</f>
        <v>β0</v>
      </c>
      <c r="U7" s="105" t="str">
        <f t="shared" si="4"/>
        <v xml:space="preserve">SE </v>
      </c>
      <c r="V7" s="105" t="str">
        <f t="shared" si="4"/>
        <v>2.5%  CI</v>
      </c>
      <c r="W7" s="105" t="str">
        <f t="shared" si="4"/>
        <v>97.5% CI</v>
      </c>
      <c r="X7" s="105" t="str">
        <f t="shared" si="4"/>
        <v>t</v>
      </c>
      <c r="Y7" s="105" t="str">
        <f t="shared" si="4"/>
        <v>df</v>
      </c>
      <c r="Z7" s="108" t="str">
        <f t="shared" si="4"/>
        <v>p. val.</v>
      </c>
      <c r="AA7" s="108" t="str">
        <f t="shared" si="4"/>
        <v>p.adj (BH)</v>
      </c>
      <c r="AB7" s="107" t="str">
        <f>J2</f>
        <v>sig.</v>
      </c>
      <c r="AC7" s="106" t="str">
        <f t="shared" ref="AC7:AK7" si="5">AC2</f>
        <v>β0</v>
      </c>
      <c r="AD7" s="105" t="str">
        <f t="shared" si="5"/>
        <v xml:space="preserve">SE </v>
      </c>
      <c r="AE7" s="105" t="str">
        <f t="shared" si="5"/>
        <v>2.5%  CI</v>
      </c>
      <c r="AF7" s="105" t="str">
        <f t="shared" si="5"/>
        <v>97.5% CI</v>
      </c>
      <c r="AG7" s="105" t="str">
        <f t="shared" si="5"/>
        <v>t</v>
      </c>
      <c r="AH7" s="105" t="str">
        <f t="shared" si="5"/>
        <v>df</v>
      </c>
      <c r="AI7" s="108" t="str">
        <f t="shared" si="5"/>
        <v>p. val.</v>
      </c>
      <c r="AJ7" s="108" t="str">
        <f t="shared" si="5"/>
        <v>p.adj (BH)</v>
      </c>
      <c r="AK7" s="107" t="str">
        <f t="shared" si="5"/>
        <v>sig.</v>
      </c>
      <c r="AL7" s="106" t="s">
        <v>65</v>
      </c>
      <c r="AM7" s="105" t="s">
        <v>66</v>
      </c>
    </row>
    <row r="8" spans="1:39" ht="33.6" customHeight="1" thickTop="1" thickBot="1" x14ac:dyDescent="0.35">
      <c r="A8" s="133" t="s">
        <v>4</v>
      </c>
      <c r="B8" s="132">
        <f>[21]Mode_PA_l_t_b0!B6</f>
        <v>67.408000000000001</v>
      </c>
      <c r="C8" s="131">
        <f>[21]Mode_PA_l_t_b0!C6</f>
        <v>45.906075043170702</v>
      </c>
      <c r="D8" s="131">
        <f>[21]Mode_PA_l_t_b0!D6</f>
        <v>88.909427524989596</v>
      </c>
      <c r="E8" s="131">
        <f>[21]Mode_PA_l_t_b0!E6</f>
        <v>9.8879999999999999</v>
      </c>
      <c r="F8" s="123">
        <f>[21]Mode_PA_l_t_b0!F6</f>
        <v>6.8170000000000002</v>
      </c>
      <c r="G8" s="123">
        <f>[21]Mode_PA_l_t_b0!G6</f>
        <v>12.22</v>
      </c>
      <c r="H8" s="128">
        <f>[21]Mode_PA_l_t_b0!H6</f>
        <v>1.7E-5</v>
      </c>
      <c r="I8" s="128">
        <f>[21]Mode_PA_l_t_b0!I6</f>
        <v>2.9E-5</v>
      </c>
      <c r="J8" s="130" t="str">
        <f>[21]Mode_PA_l_t_b0!J6</f>
        <v>p&lt;0.0001</v>
      </c>
      <c r="K8" s="129">
        <f>[21]Mode_PA_l_t_b0!B7</f>
        <v>81.248999999999995</v>
      </c>
      <c r="L8" s="123">
        <f>[21]Mode_PA_l_t_b0!C7</f>
        <v>51.745674146421401</v>
      </c>
      <c r="M8" s="123">
        <f>[21]Mode_PA_l_t_b0!D7</f>
        <v>110.7528902249</v>
      </c>
      <c r="N8" s="123">
        <f>[21]Mode_PA_l_t_b0!E7</f>
        <v>14.737</v>
      </c>
      <c r="O8" s="123">
        <f>[21]Mode_PA_l_t_b0!F7</f>
        <v>5.5129999999999999</v>
      </c>
      <c r="P8" s="123">
        <f>[21]Mode_PA_l_t_b0!G7</f>
        <v>57.6</v>
      </c>
      <c r="Q8" s="128">
        <f>[21]Mode_PA_l_t_b0!H7</f>
        <v>8.7000000000000003E-7</v>
      </c>
      <c r="R8" s="128">
        <f>[21]Mode_PA_l_t_b0!I7</f>
        <v>1.7E-6</v>
      </c>
      <c r="S8" s="125" t="str">
        <f>[21]Mode_PA_l_t_b0!J7</f>
        <v>p&lt;0.0001</v>
      </c>
      <c r="T8" s="127">
        <f>[21]Mode_PA_l_t_b0!B8</f>
        <v>63.344000000000001</v>
      </c>
      <c r="U8" s="123">
        <f>[21]Mode_PA_l_t_b0!C8</f>
        <v>40.548764552006098</v>
      </c>
      <c r="V8" s="123">
        <f>[21]Mode_PA_l_t_b0!D8</f>
        <v>86.140197086469001</v>
      </c>
      <c r="W8" s="123">
        <f>[21]Mode_PA_l_t_b0!E8</f>
        <v>10.831</v>
      </c>
      <c r="X8" s="123">
        <f>[21]Mode_PA_l_t_b0!F8</f>
        <v>5.8490000000000002</v>
      </c>
      <c r="Y8" s="123">
        <f>[21]Mode_PA_l_t_b0!G8</f>
        <v>17.55</v>
      </c>
      <c r="Z8" s="126">
        <f>[21]Mode_PA_l_t_b0!H8</f>
        <v>1.7E-5</v>
      </c>
      <c r="AA8" s="126">
        <f>[21]Mode_PA_l_t_b0!I8</f>
        <v>2.9E-5</v>
      </c>
      <c r="AB8" s="125" t="str">
        <f>[21]Mode_PA_l_t_b0!J8</f>
        <v>p&lt;0.0001</v>
      </c>
      <c r="AC8" s="124">
        <f>[21]Mode_PA_l_t_b0!B9</f>
        <v>65.388999999999996</v>
      </c>
      <c r="AD8" s="123">
        <f>[21]Mode_PA_l_t_b0!C9</f>
        <v>43.096406186970398</v>
      </c>
      <c r="AE8" s="123">
        <f>[21]Mode_PA_l_t_b0!D9</f>
        <v>87.6806831178435</v>
      </c>
      <c r="AF8" s="123">
        <f>[21]Mode_PA_l_t_b0!E9</f>
        <v>10.481</v>
      </c>
      <c r="AG8" s="123">
        <f>[21]Mode_PA_l_t_b0!F9</f>
        <v>6.2389999999999999</v>
      </c>
      <c r="AH8" s="123">
        <f>[21]Mode_PA_l_t_b0!G9</f>
        <v>15.37</v>
      </c>
      <c r="AI8" s="126">
        <f>[21]Mode_PA_l_t_b0!H9</f>
        <v>1.4E-5</v>
      </c>
      <c r="AJ8" s="126">
        <f>[21]Mode_PA_l_t_b0!I9</f>
        <v>2.5999999999999998E-5</v>
      </c>
      <c r="AK8" s="125" t="str">
        <f>[21]Mode_PA_l_t_b0!J9</f>
        <v>p&lt;0.0001</v>
      </c>
      <c r="AL8" s="124">
        <v>0.60768973596170595</v>
      </c>
      <c r="AM8" s="123">
        <v>0.76784989368498202</v>
      </c>
    </row>
    <row r="9" spans="1:39" ht="33.6" customHeight="1" thickBot="1" x14ac:dyDescent="0.35">
      <c r="A9" s="122" t="s">
        <v>3</v>
      </c>
      <c r="B9" s="121">
        <f>[23]Mode_PA_h_t_b0!B6</f>
        <v>268.214</v>
      </c>
      <c r="C9" s="120">
        <f>[23]Mode_PA_h_t_b0!C6</f>
        <v>187.773596811201</v>
      </c>
      <c r="D9" s="120">
        <f>[23]Mode_PA_h_t_b0!D6</f>
        <v>348.65534627868499</v>
      </c>
      <c r="E9" s="120">
        <f>[23]Mode_PA_h_t_b0!E6</f>
        <v>30.707999999999998</v>
      </c>
      <c r="F9" s="112">
        <f>[23]Mode_PA_h_t_b0!F6</f>
        <v>8.734</v>
      </c>
      <c r="G9" s="112">
        <f>[23]Mode_PA_h_t_b0!G6</f>
        <v>4.71</v>
      </c>
      <c r="H9" s="117">
        <f>[23]Mode_PA_h_t_b0!H6</f>
        <v>4.4000000000000002E-4</v>
      </c>
      <c r="I9" s="117">
        <f>[23]Mode_PA_h_t_b0!I6</f>
        <v>5.5000000000000003E-4</v>
      </c>
      <c r="J9" s="119" t="str">
        <f>[23]Mode_PA_h_t_b0!J6</f>
        <v>p&lt;0.001</v>
      </c>
      <c r="K9" s="118">
        <f>[23]Mode_PA_h_t_b0!B7</f>
        <v>218.333</v>
      </c>
      <c r="L9" s="112">
        <f>[23]Mode_PA_h_t_b0!C7</f>
        <v>137.65677546246101</v>
      </c>
      <c r="M9" s="112">
        <f>[23]Mode_PA_h_t_b0!D7</f>
        <v>299.008241273294</v>
      </c>
      <c r="N9" s="112">
        <f>[23]Mode_PA_h_t_b0!E7</f>
        <v>34.774000000000001</v>
      </c>
      <c r="O9" s="112">
        <f>[23]Mode_PA_h_t_b0!F7</f>
        <v>6.2789999999999999</v>
      </c>
      <c r="P9" s="112">
        <f>[23]Mode_PA_h_t_b0!G7</f>
        <v>7.73</v>
      </c>
      <c r="Q9" s="117">
        <f>[23]Mode_PA_h_t_b0!H7</f>
        <v>2.7E-4</v>
      </c>
      <c r="R9" s="117">
        <f>[23]Mode_PA_h_t_b0!I7</f>
        <v>4.0999999999999999E-4</v>
      </c>
      <c r="S9" s="114" t="str">
        <f>[23]Mode_PA_h_t_b0!J7</f>
        <v>p&lt;0.001</v>
      </c>
      <c r="T9" s="116">
        <f>[23]Mode_PA_h_t_b0!B8</f>
        <v>267.35399999999998</v>
      </c>
      <c r="U9" s="112">
        <f>[23]Mode_PA_h_t_b0!C8</f>
        <v>187.31942554880899</v>
      </c>
      <c r="V9" s="112">
        <f>[23]Mode_PA_h_t_b0!D8</f>
        <v>347.387622512272</v>
      </c>
      <c r="W9" s="112">
        <f>[23]Mode_PA_h_t_b0!E8</f>
        <v>31.405000000000001</v>
      </c>
      <c r="X9" s="112">
        <f>[23]Mode_PA_h_t_b0!F8</f>
        <v>8.5129999999999999</v>
      </c>
      <c r="Y9" s="112">
        <f>[23]Mode_PA_h_t_b0!G8</f>
        <v>5.15</v>
      </c>
      <c r="Z9" s="115">
        <f>[23]Mode_PA_h_t_b0!H8</f>
        <v>3.2000000000000003E-4</v>
      </c>
      <c r="AA9" s="115">
        <f>[23]Mode_PA_h_t_b0!I8</f>
        <v>4.6000000000000001E-4</v>
      </c>
      <c r="AB9" s="114" t="str">
        <f>[23]Mode_PA_h_t_b0!J8</f>
        <v>p&lt;0.001</v>
      </c>
      <c r="AC9" s="113">
        <f>[23]Mode_PA_h_t_b0!B9</f>
        <v>267.60899999999998</v>
      </c>
      <c r="AD9" s="112">
        <f>[23]Mode_PA_h_t_b0!C9</f>
        <v>187.45073907116199</v>
      </c>
      <c r="AE9" s="112">
        <f>[23]Mode_PA_h_t_b0!D9</f>
        <v>347.76631608666497</v>
      </c>
      <c r="AF9" s="112">
        <f>[23]Mode_PA_h_t_b0!E9</f>
        <v>31.145</v>
      </c>
      <c r="AG9" s="112">
        <f>[23]Mode_PA_h_t_b0!F9</f>
        <v>8.5920000000000005</v>
      </c>
      <c r="AH9" s="112">
        <f>[23]Mode_PA_h_t_b0!G9</f>
        <v>4.9800000000000004</v>
      </c>
      <c r="AI9" s="115">
        <f>[23]Mode_PA_h_t_b0!H9</f>
        <v>3.6000000000000002E-4</v>
      </c>
      <c r="AJ9" s="115">
        <f>[23]Mode_PA_h_t_b0!I9</f>
        <v>5.1000000000000004E-4</v>
      </c>
      <c r="AK9" s="114" t="str">
        <f>[23]Mode_PA_h_t_b0!J9</f>
        <v>p&lt;0.001</v>
      </c>
      <c r="AL9" s="113">
        <v>0.30551322079765297</v>
      </c>
      <c r="AM9" s="112">
        <v>0.84349336767445005</v>
      </c>
    </row>
    <row r="10" spans="1:39" ht="33.6" customHeight="1" thickTop="1" thickBot="1" x14ac:dyDescent="0.35">
      <c r="A10" s="105" t="s">
        <v>55</v>
      </c>
      <c r="B10" s="111" t="str">
        <f t="shared" ref="B10:R10" si="6">B2</f>
        <v>β0</v>
      </c>
      <c r="C10" s="105" t="str">
        <f t="shared" si="6"/>
        <v xml:space="preserve">SE </v>
      </c>
      <c r="D10" s="105" t="str">
        <f t="shared" si="6"/>
        <v>2.5%  CI</v>
      </c>
      <c r="E10" s="105" t="str">
        <f t="shared" si="6"/>
        <v>97.5% CI</v>
      </c>
      <c r="F10" s="105" t="str">
        <f t="shared" si="6"/>
        <v>t</v>
      </c>
      <c r="G10" s="105" t="str">
        <f t="shared" si="6"/>
        <v>df</v>
      </c>
      <c r="H10" s="108" t="str">
        <f t="shared" si="6"/>
        <v>p. val.</v>
      </c>
      <c r="I10" s="108" t="str">
        <f t="shared" si="6"/>
        <v>p.adj (BH)</v>
      </c>
      <c r="J10" s="110" t="str">
        <f t="shared" si="6"/>
        <v>sig.</v>
      </c>
      <c r="K10" s="109" t="str">
        <f t="shared" si="6"/>
        <v>β0</v>
      </c>
      <c r="L10" s="105" t="str">
        <f t="shared" si="6"/>
        <v xml:space="preserve">SE </v>
      </c>
      <c r="M10" s="105" t="str">
        <f t="shared" si="6"/>
        <v>2.5%  CI</v>
      </c>
      <c r="N10" s="105" t="str">
        <f t="shared" si="6"/>
        <v>97.5% CI</v>
      </c>
      <c r="O10" s="105" t="str">
        <f t="shared" si="6"/>
        <v>t</v>
      </c>
      <c r="P10" s="105" t="str">
        <f t="shared" si="6"/>
        <v>df</v>
      </c>
      <c r="Q10" s="108" t="str">
        <f t="shared" si="6"/>
        <v>p. val.</v>
      </c>
      <c r="R10" s="108" t="str">
        <f t="shared" si="6"/>
        <v>p.adj (BH)</v>
      </c>
      <c r="S10" s="107" t="str">
        <f>J2</f>
        <v>sig.</v>
      </c>
      <c r="T10" s="106" t="str">
        <f t="shared" ref="T10:AA10" si="7">T2</f>
        <v>β0</v>
      </c>
      <c r="U10" s="105" t="str">
        <f t="shared" si="7"/>
        <v xml:space="preserve">SE </v>
      </c>
      <c r="V10" s="105" t="str">
        <f t="shared" si="7"/>
        <v>2.5%  CI</v>
      </c>
      <c r="W10" s="105" t="str">
        <f t="shared" si="7"/>
        <v>97.5% CI</v>
      </c>
      <c r="X10" s="105" t="str">
        <f t="shared" si="7"/>
        <v>t</v>
      </c>
      <c r="Y10" s="105" t="str">
        <f t="shared" si="7"/>
        <v>df</v>
      </c>
      <c r="Z10" s="108" t="str">
        <f t="shared" si="7"/>
        <v>p. val.</v>
      </c>
      <c r="AA10" s="108" t="str">
        <f t="shared" si="7"/>
        <v>p.adj (BH)</v>
      </c>
      <c r="AB10" s="107" t="str">
        <f>J2</f>
        <v>sig.</v>
      </c>
      <c r="AC10" s="106" t="str">
        <f t="shared" ref="AC10:AK10" si="8">AC2</f>
        <v>β0</v>
      </c>
      <c r="AD10" s="105" t="str">
        <f t="shared" si="8"/>
        <v xml:space="preserve">SE </v>
      </c>
      <c r="AE10" s="105" t="str">
        <f t="shared" si="8"/>
        <v>2.5%  CI</v>
      </c>
      <c r="AF10" s="105" t="str">
        <f t="shared" si="8"/>
        <v>97.5% CI</v>
      </c>
      <c r="AG10" s="105" t="str">
        <f t="shared" si="8"/>
        <v>t</v>
      </c>
      <c r="AH10" s="105" t="str">
        <f t="shared" si="8"/>
        <v>df</v>
      </c>
      <c r="AI10" s="108" t="str">
        <f t="shared" si="8"/>
        <v>p. val.</v>
      </c>
      <c r="AJ10" s="108" t="str">
        <f t="shared" si="8"/>
        <v>p.adj (BH)</v>
      </c>
      <c r="AK10" s="107" t="str">
        <f t="shared" si="8"/>
        <v>sig.</v>
      </c>
      <c r="AL10" s="106" t="s">
        <v>65</v>
      </c>
      <c r="AM10" s="105" t="s">
        <v>66</v>
      </c>
    </row>
    <row r="11" spans="1:39" ht="33.6" customHeight="1" thickTop="1" x14ac:dyDescent="0.3">
      <c r="A11" s="103" t="s">
        <v>26</v>
      </c>
      <c r="B11" s="104">
        <f>[25]Mode_PA_lh_slope_b0!B6</f>
        <v>34.866999999999997</v>
      </c>
      <c r="C11" s="102">
        <f>[25]Mode_PA_lh_slope_b0!C6</f>
        <v>19.4382826262501</v>
      </c>
      <c r="D11" s="103">
        <f>[25]Mode_PA_lh_slope_b0!D6</f>
        <v>50.295027165882203</v>
      </c>
      <c r="E11" s="103">
        <f>[25]Mode_PA_lh_slope_b0!E6</f>
        <v>5.1239999999999997</v>
      </c>
      <c r="F11" s="102">
        <f>[25]Mode_PA_lh_slope_b0!F6</f>
        <v>6.8049999999999997</v>
      </c>
      <c r="G11" s="102">
        <f>[25]Mode_PA_lh_slope_b0!G6</f>
        <v>3.33</v>
      </c>
      <c r="H11" s="101">
        <f>[25]Mode_PA_lh_slope_b0!H6</f>
        <v>5.0000000000000001E-3</v>
      </c>
      <c r="I11" s="101">
        <f>[25]Mode_PA_lh_slope_b0!I6</f>
        <v>5.0000000000000001E-3</v>
      </c>
      <c r="J11" s="100" t="str">
        <f>[25]Mode_PA_lh_slope_b0!J6</f>
        <v>p&lt;0.01</v>
      </c>
      <c r="K11" s="99">
        <f>[25]Mode_PA_lh_slope_b0!B7</f>
        <v>22.114999999999998</v>
      </c>
      <c r="L11" s="94">
        <f>[25]Mode_PA_lh_slope_b0!C7</f>
        <v>6.7480699939542497</v>
      </c>
      <c r="M11" s="94">
        <f>[25]Mode_PA_lh_slope_b0!D7</f>
        <v>37.482070493688099</v>
      </c>
      <c r="N11" s="94">
        <f>[25]Mode_PA_lh_slope_b0!E7</f>
        <v>7.0389999999999997</v>
      </c>
      <c r="O11" s="94">
        <f>[25]Mode_PA_lh_slope_b0!F7</f>
        <v>3.1419999999999999</v>
      </c>
      <c r="P11" s="94">
        <f>[25]Mode_PA_lh_slope_b0!G7</f>
        <v>11.79</v>
      </c>
      <c r="Q11" s="98">
        <f>[25]Mode_PA_lh_slope_b0!H7</f>
        <v>8.9999999999999993E-3</v>
      </c>
      <c r="R11" s="98">
        <f>[25]Mode_PA_lh_slope_b0!I7</f>
        <v>0.01</v>
      </c>
      <c r="S11" s="96" t="str">
        <f>[25]Mode_PA_lh_slope_b0!J7</f>
        <v>p&lt;0.01</v>
      </c>
      <c r="T11" s="95">
        <f>[25]Mode_PA_lh_slope_b0!B8</f>
        <v>53.122999999999998</v>
      </c>
      <c r="U11" s="94">
        <f>[25]Mode_PA_lh_slope_b0!C8</f>
        <v>38.391215705540098</v>
      </c>
      <c r="V11" s="94">
        <f>[25]Mode_PA_lh_slope_b0!D8</f>
        <v>67.855146691603295</v>
      </c>
      <c r="W11" s="94">
        <f>[25]Mode_PA_lh_slope_b0!E8</f>
        <v>5.484</v>
      </c>
      <c r="X11" s="94">
        <f>[25]Mode_PA_lh_slope_b0!F8</f>
        <v>9.6869999999999994</v>
      </c>
      <c r="Y11" s="94">
        <f>[25]Mode_PA_lh_slope_b0!G8</f>
        <v>4.37</v>
      </c>
      <c r="Z11" s="97">
        <f>[25]Mode_PA_lh_slope_b0!H8</f>
        <v>4.0999999999999999E-4</v>
      </c>
      <c r="AA11" s="97">
        <f>[25]Mode_PA_lh_slope_b0!I8</f>
        <v>5.5999999999999995E-4</v>
      </c>
      <c r="AB11" s="96" t="str">
        <f>[25]Mode_PA_lh_slope_b0!J8</f>
        <v>p&lt;0.001</v>
      </c>
      <c r="AC11" s="95">
        <f>[25]Mode_PA_lh_slope_b0!B9</f>
        <v>39.985999999999997</v>
      </c>
      <c r="AD11" s="94">
        <f>[25]Mode_PA_lh_slope_b0!C9</f>
        <v>25.0674426434616</v>
      </c>
      <c r="AE11" s="94">
        <f>[25]Mode_PA_lh_slope_b0!D9</f>
        <v>54.905062194502001</v>
      </c>
      <c r="AF11" s="94">
        <f>[25]Mode_PA_lh_slope_b0!E9</f>
        <v>5.3490000000000002</v>
      </c>
      <c r="AG11" s="94">
        <f>[25]Mode_PA_lh_slope_b0!F9</f>
        <v>7.4749999999999996</v>
      </c>
      <c r="AH11" s="94">
        <f>[25]Mode_PA_lh_slope_b0!G9</f>
        <v>3.96</v>
      </c>
      <c r="AI11" s="97">
        <f>[25]Mode_PA_lh_slope_b0!H9</f>
        <v>2E-3</v>
      </c>
      <c r="AJ11" s="97">
        <f>[25]Mode_PA_lh_slope_b0!I9</f>
        <v>2E-3</v>
      </c>
      <c r="AK11" s="96" t="str">
        <f>[25]Mode_PA_lh_slope_b0!J9</f>
        <v>p&lt;0.01</v>
      </c>
      <c r="AL11" s="95">
        <v>0.1730903930522</v>
      </c>
      <c r="AM11" s="94">
        <v>0.69817606427779999</v>
      </c>
    </row>
  </sheetData>
  <mergeCells count="5">
    <mergeCell ref="B1:J1"/>
    <mergeCell ref="K1:S1"/>
    <mergeCell ref="T1:AB1"/>
    <mergeCell ref="AC1:AK1"/>
    <mergeCell ref="AL1:AM1"/>
  </mergeCells>
  <conditionalFormatting sqref="H3:I5 H11:I11 Q3:R5 Q11:R11 Z3:AA5 Z11:AA11 AI3:AJ5 AI11:AJ11 H1:I1 Q1:R1 Z1:AA1 AI1:AJ1 AI7:AJ9 Z7:AA9 Q7:R8 H7:I9">
    <cfRule type="cellIs" dxfId="202" priority="15" stopIfTrue="1" operator="lessThan">
      <formula>0.0001</formula>
    </cfRule>
    <cfRule type="cellIs" dxfId="201" priority="16" stopIfTrue="1" operator="lessThan">
      <formula>0.001</formula>
    </cfRule>
    <cfRule type="cellIs" dxfId="200" priority="17" stopIfTrue="1" operator="lessThan">
      <formula>0.05</formula>
    </cfRule>
    <cfRule type="cellIs" dxfId="199" priority="18" stopIfTrue="1" operator="lessThan">
      <formula>0.1</formula>
    </cfRule>
  </conditionalFormatting>
  <conditionalFormatting sqref="J3:J5 J11 S3:S5 S11 AB3:AB5 AB11 AK3:AK5 AK11 J1 S1 AB1 AK1 AK7:AK9 AB7:AB9 S7:S9 J7:J9">
    <cfRule type="containsText" dxfId="198" priority="10" stopIfTrue="1" operator="containsText" text="p&lt;0.0001">
      <formula>NOT(ISERROR(SEARCH("p&lt;0.0001",J1)))</formula>
    </cfRule>
    <cfRule type="containsText" dxfId="197" priority="11" stopIfTrue="1" operator="containsText" text="p&lt;0.001">
      <formula>NOT(ISERROR(SEARCH("p&lt;0.001",J1)))</formula>
    </cfRule>
    <cfRule type="containsText" dxfId="196" priority="12" stopIfTrue="1" operator="containsText" text="p&lt;0.01">
      <formula>NOT(ISERROR(SEARCH("p&lt;0.01",J1)))</formula>
    </cfRule>
    <cfRule type="containsText" dxfId="195" priority="13" stopIfTrue="1" operator="containsText" text="p&lt;0.05">
      <formula>NOT(ISERROR(SEARCH("p&lt;0.05",J1)))</formula>
    </cfRule>
    <cfRule type="containsText" dxfId="194" priority="14" stopIfTrue="1" operator="containsText" text="p&lt;0.1">
      <formula>NOT(ISERROR(SEARCH("p&lt;0.1",J1)))</formula>
    </cfRule>
  </conditionalFormatting>
  <conditionalFormatting sqref="H6:I6 Q6:R6 Z6:AA6 AI6:AJ6">
    <cfRule type="cellIs" dxfId="193" priority="6" stopIfTrue="1" operator="lessThan">
      <formula>0.0001</formula>
    </cfRule>
    <cfRule type="cellIs" dxfId="192" priority="7" stopIfTrue="1" operator="lessThan">
      <formula>0.001</formula>
    </cfRule>
    <cfRule type="cellIs" dxfId="191" priority="8" stopIfTrue="1" operator="lessThan">
      <formula>0.05</formula>
    </cfRule>
    <cfRule type="cellIs" dxfId="190" priority="9" stopIfTrue="1" operator="lessThan">
      <formula>0.1</formula>
    </cfRule>
  </conditionalFormatting>
  <conditionalFormatting sqref="J6 S6 AB6 AK6">
    <cfRule type="containsText" dxfId="189" priority="1" stopIfTrue="1" operator="containsText" text="p&lt;0.0001">
      <formula>NOT(ISERROR(SEARCH("p&lt;0.0001",J6)))</formula>
    </cfRule>
    <cfRule type="containsText" dxfId="188" priority="2" stopIfTrue="1" operator="containsText" text="p&lt;0.001">
      <formula>NOT(ISERROR(SEARCH("p&lt;0.001",J6)))</formula>
    </cfRule>
    <cfRule type="containsText" dxfId="187" priority="3" stopIfTrue="1" operator="containsText" text="p&lt;0.01">
      <formula>NOT(ISERROR(SEARCH("p&lt;0.01",J6)))</formula>
    </cfRule>
    <cfRule type="containsText" dxfId="186" priority="4" stopIfTrue="1" operator="containsText" text="p&lt;0.05">
      <formula>NOT(ISERROR(SEARCH("p&lt;0.05",J6)))</formula>
    </cfRule>
    <cfRule type="containsText" dxfId="185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12"/>
  <sheetViews>
    <sheetView showGridLines="0" zoomScale="40" zoomScaleNormal="40" zoomScaleSheetLayoutView="40" workbookViewId="0">
      <selection activeCell="A3" sqref="A3:XFD3"/>
    </sheetView>
  </sheetViews>
  <sheetFormatPr defaultColWidth="13.88671875" defaultRowHeight="13.2" x14ac:dyDescent="0.25"/>
  <cols>
    <col min="1" max="3" width="12.33203125" style="16" customWidth="1"/>
    <col min="4" max="5" width="7.6640625" style="15" customWidth="1"/>
    <col min="6" max="7" width="11.44140625" style="15" customWidth="1"/>
    <col min="8" max="9" width="8.6640625" style="15" customWidth="1"/>
    <col min="10" max="10" width="11.44140625" style="15" customWidth="1"/>
    <col min="11" max="11" width="9.6640625" style="17" customWidth="1"/>
    <col min="12" max="12" width="11.44140625" style="17" customWidth="1"/>
    <col min="13" max="14" width="7.6640625" style="15" customWidth="1"/>
    <col min="15" max="16" width="11.44140625" style="15" customWidth="1"/>
    <col min="17" max="18" width="8.6640625" style="15" customWidth="1"/>
    <col min="19" max="19" width="11.44140625" style="18" customWidth="1"/>
    <col min="20" max="20" width="9.6640625" style="18" customWidth="1"/>
    <col min="21" max="21" width="11.44140625" style="18" customWidth="1"/>
    <col min="22" max="23" width="7.6640625" style="15" customWidth="1"/>
    <col min="24" max="25" width="11.44140625" style="15" customWidth="1"/>
    <col min="26" max="27" width="8.6640625" style="15" customWidth="1"/>
    <col min="28" max="28" width="11.44140625" style="18" customWidth="1"/>
    <col min="29" max="29" width="9.6640625" style="18" customWidth="1"/>
    <col min="30" max="30" width="11.44140625" style="18" customWidth="1"/>
    <col min="31" max="32" width="7.6640625" style="15" customWidth="1"/>
    <col min="33" max="34" width="11.44140625" style="15" customWidth="1"/>
    <col min="35" max="36" width="8.6640625" style="15" customWidth="1"/>
    <col min="37" max="37" width="11.44140625" style="18" customWidth="1"/>
    <col min="38" max="38" width="9.6640625" style="18" customWidth="1"/>
    <col min="39" max="39" width="11.44140625" style="18" customWidth="1"/>
    <col min="40" max="41" width="7.6640625" style="15" customWidth="1"/>
    <col min="42" max="43" width="11.44140625" style="15" customWidth="1"/>
    <col min="44" max="45" width="8.6640625" style="15" customWidth="1"/>
    <col min="46" max="46" width="11.44140625" style="18" customWidth="1"/>
    <col min="47" max="47" width="9.6640625" style="18" customWidth="1"/>
    <col min="48" max="48" width="11.44140625" style="18" customWidth="1"/>
    <col min="49" max="50" width="7.6640625" style="15" customWidth="1"/>
    <col min="51" max="52" width="11.44140625" style="15" customWidth="1"/>
    <col min="53" max="54" width="8.6640625" style="15" customWidth="1"/>
    <col min="55" max="55" width="11.44140625" style="18" customWidth="1"/>
    <col min="56" max="56" width="9.6640625" style="18" customWidth="1"/>
    <col min="57" max="57" width="11.44140625" style="18" customWidth="1"/>
    <col min="58" max="59" width="11.44140625" style="15" customWidth="1"/>
    <col min="60" max="16384" width="13.88671875" style="15"/>
  </cols>
  <sheetData>
    <row r="1" spans="1:57" ht="20.399999999999999" customHeight="1" x14ac:dyDescent="0.25">
      <c r="A1" s="350" t="s">
        <v>50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</row>
    <row r="2" spans="1:57" ht="13.2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57" ht="13.2" customHeight="1" x14ac:dyDescent="0.25">
      <c r="A3" s="86" t="s">
        <v>45</v>
      </c>
      <c r="B3" s="79"/>
      <c r="C3" s="79"/>
      <c r="D3" s="80"/>
      <c r="E3" s="80"/>
      <c r="F3" s="80"/>
      <c r="G3" s="80"/>
      <c r="H3" s="80"/>
      <c r="I3" s="80"/>
      <c r="J3" s="80"/>
      <c r="K3" s="81"/>
      <c r="L3" s="81"/>
    </row>
    <row r="4" spans="1:57" s="14" customFormat="1" ht="33.6" customHeight="1" thickBot="1" x14ac:dyDescent="0.35">
      <c r="A4" s="45" t="s">
        <v>37</v>
      </c>
      <c r="B4" s="349" t="s">
        <v>38</v>
      </c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 t="s">
        <v>39</v>
      </c>
      <c r="N4" s="349"/>
      <c r="O4" s="349"/>
      <c r="P4" s="349"/>
      <c r="Q4" s="349"/>
      <c r="R4" s="349"/>
      <c r="S4" s="349"/>
      <c r="T4" s="349"/>
      <c r="U4" s="349"/>
      <c r="V4" s="348" t="s">
        <v>40</v>
      </c>
      <c r="W4" s="349"/>
      <c r="X4" s="349"/>
      <c r="Y4" s="349"/>
      <c r="Z4" s="349"/>
      <c r="AA4" s="349"/>
      <c r="AB4" s="349"/>
      <c r="AC4" s="349"/>
      <c r="AD4" s="349"/>
      <c r="AE4" s="348" t="s">
        <v>41</v>
      </c>
      <c r="AF4" s="349"/>
      <c r="AG4" s="349"/>
      <c r="AH4" s="349"/>
      <c r="AI4" s="349"/>
      <c r="AJ4" s="349"/>
      <c r="AK4" s="349"/>
      <c r="AL4" s="349"/>
      <c r="AM4" s="349"/>
      <c r="AN4" s="348" t="s">
        <v>42</v>
      </c>
      <c r="AO4" s="349"/>
      <c r="AP4" s="349"/>
      <c r="AQ4" s="349"/>
      <c r="AR4" s="349"/>
      <c r="AS4" s="349"/>
      <c r="AT4" s="349"/>
      <c r="AU4" s="349"/>
      <c r="AV4" s="349"/>
      <c r="AW4" s="348" t="s">
        <v>43</v>
      </c>
      <c r="AX4" s="349"/>
      <c r="AY4" s="349"/>
      <c r="AZ4" s="349"/>
      <c r="BA4" s="349"/>
      <c r="BB4" s="349"/>
      <c r="BC4" s="349"/>
      <c r="BD4" s="349"/>
      <c r="BE4" s="349"/>
    </row>
    <row r="5" spans="1:57" s="41" customFormat="1" ht="33.6" customHeight="1" thickTop="1" thickBot="1" x14ac:dyDescent="0.3">
      <c r="A5" s="35" t="s">
        <v>28</v>
      </c>
      <c r="B5" s="35" t="s">
        <v>52</v>
      </c>
      <c r="C5" s="35" t="s">
        <v>53</v>
      </c>
      <c r="D5" s="35" t="s">
        <v>31</v>
      </c>
      <c r="E5" s="35" t="s">
        <v>2</v>
      </c>
      <c r="F5" s="35" t="s">
        <v>10</v>
      </c>
      <c r="G5" s="35" t="s">
        <v>11</v>
      </c>
      <c r="H5" s="35" t="s">
        <v>8</v>
      </c>
      <c r="I5" s="35" t="s">
        <v>12</v>
      </c>
      <c r="J5" s="35" t="s">
        <v>22</v>
      </c>
      <c r="K5" s="36" t="str">
        <f>[31]Mode_PA_h_t_b1!J1</f>
        <v>p.adj (BH)</v>
      </c>
      <c r="L5" s="36" t="s">
        <v>27</v>
      </c>
      <c r="M5" s="35" t="str">
        <f t="shared" ref="M5:U5" si="0">D5</f>
        <v>β1</v>
      </c>
      <c r="N5" s="35" t="str">
        <f t="shared" si="0"/>
        <v xml:space="preserve">SE </v>
      </c>
      <c r="O5" s="35" t="str">
        <f t="shared" si="0"/>
        <v>2.5% CI</v>
      </c>
      <c r="P5" s="35" t="str">
        <f t="shared" si="0"/>
        <v>97.5% CI</v>
      </c>
      <c r="Q5" s="35" t="str">
        <f t="shared" si="0"/>
        <v>t</v>
      </c>
      <c r="R5" s="35" t="str">
        <f t="shared" si="0"/>
        <v>df</v>
      </c>
      <c r="S5" s="38" t="str">
        <f t="shared" si="0"/>
        <v>p. val.</v>
      </c>
      <c r="T5" s="38" t="str">
        <f t="shared" si="0"/>
        <v>p.adj (BH)</v>
      </c>
      <c r="U5" s="39" t="str">
        <f t="shared" si="0"/>
        <v>sig.</v>
      </c>
      <c r="V5" s="37" t="str">
        <f t="shared" ref="V5:AD5" si="1">D5</f>
        <v>β1</v>
      </c>
      <c r="W5" s="35" t="str">
        <f t="shared" si="1"/>
        <v xml:space="preserve">SE </v>
      </c>
      <c r="X5" s="35" t="str">
        <f t="shared" si="1"/>
        <v>2.5% CI</v>
      </c>
      <c r="Y5" s="35" t="str">
        <f t="shared" si="1"/>
        <v>97.5% CI</v>
      </c>
      <c r="Z5" s="35" t="str">
        <f t="shared" si="1"/>
        <v>t</v>
      </c>
      <c r="AA5" s="35" t="str">
        <f t="shared" si="1"/>
        <v>df</v>
      </c>
      <c r="AB5" s="38" t="str">
        <f t="shared" si="1"/>
        <v>p. val.</v>
      </c>
      <c r="AC5" s="38" t="str">
        <f t="shared" si="1"/>
        <v>p.adj (BH)</v>
      </c>
      <c r="AD5" s="39" t="str">
        <f t="shared" si="1"/>
        <v>sig.</v>
      </c>
      <c r="AE5" s="35" t="str">
        <f t="shared" ref="AE5:AM5" si="2">D5</f>
        <v>β1</v>
      </c>
      <c r="AF5" s="35" t="str">
        <f t="shared" si="2"/>
        <v xml:space="preserve">SE </v>
      </c>
      <c r="AG5" s="35" t="str">
        <f t="shared" si="2"/>
        <v>2.5% CI</v>
      </c>
      <c r="AH5" s="35" t="str">
        <f t="shared" si="2"/>
        <v>97.5% CI</v>
      </c>
      <c r="AI5" s="35" t="str">
        <f t="shared" si="2"/>
        <v>t</v>
      </c>
      <c r="AJ5" s="35" t="str">
        <f t="shared" si="2"/>
        <v>df</v>
      </c>
      <c r="AK5" s="38" t="str">
        <f t="shared" si="2"/>
        <v>p. val.</v>
      </c>
      <c r="AL5" s="38" t="str">
        <f t="shared" si="2"/>
        <v>p.adj (BH)</v>
      </c>
      <c r="AM5" s="39" t="str">
        <f t="shared" si="2"/>
        <v>sig.</v>
      </c>
      <c r="AN5" s="37" t="str">
        <f t="shared" ref="AN5:AV5" si="3">D5</f>
        <v>β1</v>
      </c>
      <c r="AO5" s="35" t="str">
        <f t="shared" si="3"/>
        <v xml:space="preserve">SE </v>
      </c>
      <c r="AP5" s="35" t="str">
        <f t="shared" si="3"/>
        <v>2.5% CI</v>
      </c>
      <c r="AQ5" s="35" t="str">
        <f t="shared" si="3"/>
        <v>97.5% CI</v>
      </c>
      <c r="AR5" s="35" t="str">
        <f t="shared" si="3"/>
        <v>t</v>
      </c>
      <c r="AS5" s="35" t="str">
        <f t="shared" si="3"/>
        <v>df</v>
      </c>
      <c r="AT5" s="38" t="str">
        <f t="shared" si="3"/>
        <v>p. val.</v>
      </c>
      <c r="AU5" s="38" t="str">
        <f t="shared" si="3"/>
        <v>p.adj (BH)</v>
      </c>
      <c r="AV5" s="39" t="str">
        <f t="shared" si="3"/>
        <v>sig.</v>
      </c>
      <c r="AW5" s="37" t="str">
        <f t="shared" ref="AW5:BD5" si="4">D5</f>
        <v>β1</v>
      </c>
      <c r="AX5" s="35" t="str">
        <f t="shared" si="4"/>
        <v xml:space="preserve">SE </v>
      </c>
      <c r="AY5" s="35" t="str">
        <f t="shared" si="4"/>
        <v>2.5% CI</v>
      </c>
      <c r="AZ5" s="35" t="str">
        <f t="shared" si="4"/>
        <v>97.5% CI</v>
      </c>
      <c r="BA5" s="35" t="str">
        <f t="shared" si="4"/>
        <v>t</v>
      </c>
      <c r="BB5" s="35" t="str">
        <f t="shared" si="4"/>
        <v>df</v>
      </c>
      <c r="BC5" s="38" t="str">
        <f t="shared" si="4"/>
        <v>p. val.</v>
      </c>
      <c r="BD5" s="38" t="str">
        <f t="shared" si="4"/>
        <v>p.adj (BH)</v>
      </c>
      <c r="BE5" s="40" t="str">
        <f>U5</f>
        <v>sig.</v>
      </c>
    </row>
    <row r="6" spans="1:57" s="41" customFormat="1" ht="33.6" customHeight="1" thickTop="1" thickBot="1" x14ac:dyDescent="0.3">
      <c r="A6" s="20" t="s">
        <v>23</v>
      </c>
      <c r="B6" s="21" t="e">
        <f>#REF!</f>
        <v>#REF!</v>
      </c>
      <c r="C6" s="21" t="e">
        <f>#REF!</f>
        <v>#REF!</v>
      </c>
      <c r="D6" s="21">
        <f>[26]Mode_PA_l_f0_b1!C8</f>
        <v>2.88</v>
      </c>
      <c r="E6" s="21">
        <f>[26]Mode_PA_l_f0_b1!D8</f>
        <v>1.4143519263022799</v>
      </c>
      <c r="F6" s="21">
        <f>[26]Mode_PA_l_f0_b1!E8</f>
        <v>4.3456949573352404</v>
      </c>
      <c r="G6" s="21">
        <f>[26]Mode_PA_l_f0_b1!F8</f>
        <v>0.746</v>
      </c>
      <c r="H6" s="21">
        <f>[26]Mode_PA_l_f0_b1!G8</f>
        <v>3.859</v>
      </c>
      <c r="I6" s="21">
        <f>[26]Mode_PA_l_f0_b1!H8</f>
        <v>600</v>
      </c>
      <c r="J6" s="43">
        <f>[26]Mode_PA_l_f0_b1!I8</f>
        <v>1.2999999999999999E-4</v>
      </c>
      <c r="K6" s="43">
        <f>[26]Mode_PA_l_f0_b1!J8</f>
        <v>3.3E-4</v>
      </c>
      <c r="L6" s="82" t="str">
        <f>[26]Mode_PA_l_f0_b1!K8</f>
        <v>p&lt;0.001</v>
      </c>
      <c r="M6" s="21">
        <f>[26]Mode_PA_l_f0_b1!C9</f>
        <v>0.71599999999999997</v>
      </c>
      <c r="N6" s="21">
        <f>[26]Mode_PA_l_f0_b1!D9</f>
        <v>0.109810559163631</v>
      </c>
      <c r="O6" s="21">
        <f>[26]Mode_PA_l_f0_b1!E9</f>
        <v>1.3228377311159101</v>
      </c>
      <c r="P6" s="21">
        <f>[26]Mode_PA_l_f0_b1!F9</f>
        <v>0.309</v>
      </c>
      <c r="Q6" s="21">
        <f>[26]Mode_PA_l_f0_b1!G9</f>
        <v>2.3199999999999998</v>
      </c>
      <c r="R6" s="21">
        <f>[26]Mode_PA_l_f0_b1!H9</f>
        <v>599.23</v>
      </c>
      <c r="S6" s="43">
        <f>[26]Mode_PA_l_f0_b1!I9</f>
        <v>2.1000000000000001E-2</v>
      </c>
      <c r="T6" s="43">
        <f>[26]Mode_PA_l_f0_b1!J9</f>
        <v>3.3000000000000002E-2</v>
      </c>
      <c r="U6" s="34" t="str">
        <f>[26]Mode_PA_l_f0_b1!K9</f>
        <v>p&lt;0.05</v>
      </c>
      <c r="V6" s="22">
        <f>[26]Mode_PA_l_f0_b1!C10</f>
        <v>2.7330000000000001</v>
      </c>
      <c r="W6" s="21">
        <f>[26]Mode_PA_l_f0_b1!D10</f>
        <v>2.2651751197030698</v>
      </c>
      <c r="X6" s="21">
        <f>[26]Mode_PA_l_f0_b1!E10</f>
        <v>3.20129385599936</v>
      </c>
      <c r="Y6" s="21">
        <f>[26]Mode_PA_l_f0_b1!F10</f>
        <v>0.23799999999999999</v>
      </c>
      <c r="Z6" s="21">
        <f>[26]Mode_PA_l_f0_b1!G10</f>
        <v>11.468</v>
      </c>
      <c r="AA6" s="21">
        <f>[26]Mode_PA_l_f0_b1!H10</f>
        <v>599.17999999999995</v>
      </c>
      <c r="AB6" s="43">
        <f>[26]Mode_PA_l_f0_b1!I10</f>
        <v>1.2E-27</v>
      </c>
      <c r="AC6" s="43">
        <f>[26]Mode_PA_l_f0_b1!J10</f>
        <v>2.2000000000000001E-26</v>
      </c>
      <c r="AD6" s="34" t="str">
        <f>[26]Mode_PA_l_f0_b1!K10</f>
        <v>p&lt;0.0001</v>
      </c>
      <c r="AE6" s="21">
        <f>[26]Mode_PA_l_f0_b1!C11</f>
        <v>-2.1640000000000001</v>
      </c>
      <c r="AF6" s="21">
        <f>[26]Mode_PA_l_f0_b1!D11</f>
        <v>-3.6806370499734702</v>
      </c>
      <c r="AG6" s="21">
        <f>[26]Mode_PA_l_f0_b1!E11</f>
        <v>-0.64676155498061305</v>
      </c>
      <c r="AH6" s="21">
        <f>[26]Mode_PA_l_f0_b1!F11</f>
        <v>0.77200000000000002</v>
      </c>
      <c r="AI6" s="21">
        <f>[26]Mode_PA_l_f0_b1!G11</f>
        <v>-2.8010000000000002</v>
      </c>
      <c r="AJ6" s="21">
        <f>[26]Mode_PA_l_f0_b1!H11</f>
        <v>600.20000000000005</v>
      </c>
      <c r="AK6" s="43">
        <f>[26]Mode_PA_l_f0_b1!I11</f>
        <v>5.0000000000000001E-3</v>
      </c>
      <c r="AL6" s="43">
        <f>[26]Mode_PA_l_f0_b1!J11</f>
        <v>8.0000000000000002E-3</v>
      </c>
      <c r="AM6" s="34" t="str">
        <f>[26]Mode_PA_l_f0_b1!K11</f>
        <v>p&lt;0.01</v>
      </c>
      <c r="AN6" s="22">
        <f>[26]Mode_PA_l_f0_b1!C12</f>
        <v>-0.14699999999999999</v>
      </c>
      <c r="AO6" s="21">
        <f>[26]Mode_PA_l_f0_b1!D12</f>
        <v>-1.5892615115800499</v>
      </c>
      <c r="AP6" s="21">
        <f>[26]Mode_PA_l_f0_b1!E12</f>
        <v>1.2956835949843299</v>
      </c>
      <c r="AQ6" s="21">
        <f>[26]Mode_PA_l_f0_b1!F12</f>
        <v>0.73399999999999999</v>
      </c>
      <c r="AR6" s="21">
        <f>[26]Mode_PA_l_f0_b1!G12</f>
        <v>-0.2</v>
      </c>
      <c r="AS6" s="21">
        <f>[26]Mode_PA_l_f0_b1!H12</f>
        <v>599.91</v>
      </c>
      <c r="AT6" s="43">
        <f>[26]Mode_PA_l_f0_b1!I12</f>
        <v>0.84199999999999997</v>
      </c>
      <c r="AU6" s="43">
        <f>[26]Mode_PA_l_f0_b1!J12</f>
        <v>0.90600000000000003</v>
      </c>
      <c r="AV6" s="34">
        <f>[26]Mode_PA_l_f0_b1!K12</f>
        <v>0</v>
      </c>
      <c r="AW6" s="22">
        <f>[26]Mode_PA_l_f0_b1!C13</f>
        <v>2.0169999999999999</v>
      </c>
      <c r="AX6" s="21">
        <f>[26]Mode_PA_l_f0_b1!D13</f>
        <v>1.43143752895072</v>
      </c>
      <c r="AY6" s="21">
        <f>[26]Mode_PA_l_f0_b1!E13</f>
        <v>2.6023831583079602</v>
      </c>
      <c r="AZ6" s="21">
        <f>[26]Mode_PA_l_f0_b1!F13</f>
        <v>0.29799999999999999</v>
      </c>
      <c r="BA6" s="21">
        <f>[26]Mode_PA_l_f0_b1!G13</f>
        <v>6.766</v>
      </c>
      <c r="BB6" s="21">
        <f>[26]Mode_PA_l_f0_b1!H13</f>
        <v>599.44000000000005</v>
      </c>
      <c r="BC6" s="43">
        <f>[26]Mode_PA_l_f0_b1!I13</f>
        <v>3.1999999999999999E-11</v>
      </c>
      <c r="BD6" s="43">
        <f>[26]Mode_PA_l_f0_b1!J13</f>
        <v>1.4000000000000001E-10</v>
      </c>
      <c r="BE6" s="34" t="str">
        <f>[26]Mode_PA_l_f0_b1!K13</f>
        <v>p&lt;0.0001</v>
      </c>
    </row>
    <row r="7" spans="1:57" s="42" customFormat="1" ht="33.6" customHeight="1" thickBot="1" x14ac:dyDescent="0.3">
      <c r="A7" s="23" t="s">
        <v>24</v>
      </c>
      <c r="B7" s="19" t="e">
        <f>#REF!</f>
        <v>#REF!</v>
      </c>
      <c r="C7" s="19" t="e">
        <f>#REF!</f>
        <v>#REF!</v>
      </c>
      <c r="D7" s="19">
        <f>[27]Mode_PA_h_f0_b1!C8</f>
        <v>-0.27300000000000002</v>
      </c>
      <c r="E7" s="19">
        <f>[27]Mode_PA_h_f0_b1!D8</f>
        <v>-2.4228532078011602</v>
      </c>
      <c r="F7" s="19">
        <f>[27]Mode_PA_h_f0_b1!E8</f>
        <v>1.87670209698594</v>
      </c>
      <c r="G7" s="19">
        <f>[27]Mode_PA_h_f0_b1!F8</f>
        <v>1.095</v>
      </c>
      <c r="H7" s="19">
        <f>[27]Mode_PA_h_f0_b1!G8</f>
        <v>-0.249</v>
      </c>
      <c r="I7" s="19">
        <f>[27]Mode_PA_h_f0_b1!H8</f>
        <v>610.98</v>
      </c>
      <c r="J7" s="43">
        <f>[27]Mode_PA_h_f0_b1!I8</f>
        <v>0.80300000000000005</v>
      </c>
      <c r="K7" s="43">
        <f>[27]Mode_PA_h_f0_b1!J8</f>
        <v>0.879</v>
      </c>
      <c r="L7" s="82">
        <f>[27]Mode_PA_h_f0_b1!K8</f>
        <v>0</v>
      </c>
      <c r="M7" s="19">
        <f>[27]Mode_PA_h_f0_b1!C9</f>
        <v>3.577</v>
      </c>
      <c r="N7" s="19">
        <f>[27]Mode_PA_h_f0_b1!D9</f>
        <v>2.7248136399718699</v>
      </c>
      <c r="O7" s="19">
        <f>[27]Mode_PA_h_f0_b1!E9</f>
        <v>4.4287303056152298</v>
      </c>
      <c r="P7" s="19">
        <f>[27]Mode_PA_h_f0_b1!F9</f>
        <v>0.434</v>
      </c>
      <c r="Q7" s="19">
        <f>[27]Mode_PA_h_f0_b1!G9</f>
        <v>8.2449999999999992</v>
      </c>
      <c r="R7" s="19">
        <f>[27]Mode_PA_h_f0_b1!H9</f>
        <v>610.16999999999996</v>
      </c>
      <c r="S7" s="43">
        <f>[27]Mode_PA_h_f0_b1!I9</f>
        <v>1.0000000000000001E-15</v>
      </c>
      <c r="T7" s="43">
        <f>[27]Mode_PA_h_f0_b1!J9</f>
        <v>7.8999999999999998E-15</v>
      </c>
      <c r="U7" s="34" t="str">
        <f>[27]Mode_PA_h_f0_b1!K9</f>
        <v>p&lt;0.0001</v>
      </c>
      <c r="V7" s="24">
        <f>[27]Mode_PA_h_f0_b1!C10</f>
        <v>3.5680000000000001</v>
      </c>
      <c r="W7" s="19">
        <f>[27]Mode_PA_h_f0_b1!D10</f>
        <v>2.9027965666353199</v>
      </c>
      <c r="X7" s="19">
        <f>[27]Mode_PA_h_f0_b1!E10</f>
        <v>4.2336322711520298</v>
      </c>
      <c r="Y7" s="19">
        <f>[27]Mode_PA_h_f0_b1!F10</f>
        <v>0.33900000000000002</v>
      </c>
      <c r="Z7" s="19">
        <f>[27]Mode_PA_h_f0_b1!G10</f>
        <v>10.531000000000001</v>
      </c>
      <c r="AA7" s="19">
        <f>[27]Mode_PA_h_f0_b1!H10</f>
        <v>610.69000000000005</v>
      </c>
      <c r="AB7" s="43">
        <f>[27]Mode_PA_h_f0_b1!I10</f>
        <v>6.1000000000000004E-24</v>
      </c>
      <c r="AC7" s="43">
        <f>[27]Mode_PA_h_f0_b1!J10</f>
        <v>8.6E-23</v>
      </c>
      <c r="AD7" s="34" t="str">
        <f>[27]Mode_PA_h_f0_b1!K10</f>
        <v>p&lt;0.0001</v>
      </c>
      <c r="AE7" s="19">
        <f>[27]Mode_PA_h_f0_b1!C11</f>
        <v>3.85</v>
      </c>
      <c r="AF7" s="19">
        <f>[27]Mode_PA_h_f0_b1!D11</f>
        <v>1.6272669506864601</v>
      </c>
      <c r="AG7" s="19">
        <f>[27]Mode_PA_h_f0_b1!E11</f>
        <v>6.0724281061155496</v>
      </c>
      <c r="AH7" s="19">
        <f>[27]Mode_PA_h_f0_b1!F11</f>
        <v>1.1319999999999999</v>
      </c>
      <c r="AI7" s="19">
        <f>[27]Mode_PA_h_f0_b1!G11</f>
        <v>3.4020000000000001</v>
      </c>
      <c r="AJ7" s="19">
        <f>[27]Mode_PA_h_f0_b1!H11</f>
        <v>611</v>
      </c>
      <c r="AK7" s="43">
        <f>[27]Mode_PA_h_f0_b1!I11</f>
        <v>7.1000000000000002E-4</v>
      </c>
      <c r="AL7" s="43">
        <f>[27]Mode_PA_h_f0_b1!J11</f>
        <v>1E-3</v>
      </c>
      <c r="AM7" s="34" t="str">
        <f>[27]Mode_PA_h_f0_b1!K11</f>
        <v>p&lt;0.01</v>
      </c>
      <c r="AN7" s="24">
        <f>[27]Mode_PA_h_f0_b1!C12</f>
        <v>3.8410000000000002</v>
      </c>
      <c r="AO7" s="19">
        <f>[27]Mode_PA_h_f0_b1!D12</f>
        <v>1.7225676834208301</v>
      </c>
      <c r="AP7" s="19">
        <f>[27]Mode_PA_h_f0_b1!E12</f>
        <v>5.9600122655439902</v>
      </c>
      <c r="AQ7" s="19">
        <f>[27]Mode_PA_h_f0_b1!F12</f>
        <v>1.079</v>
      </c>
      <c r="AR7" s="19">
        <f>[27]Mode_PA_h_f0_b1!G12</f>
        <v>3.5609999999999999</v>
      </c>
      <c r="AS7" s="19">
        <f>[27]Mode_PA_h_f0_b1!H12</f>
        <v>610.77</v>
      </c>
      <c r="AT7" s="43">
        <f>[27]Mode_PA_h_f0_b1!I12</f>
        <v>4.0000000000000002E-4</v>
      </c>
      <c r="AU7" s="43">
        <f>[27]Mode_PA_h_f0_b1!J12</f>
        <v>9.1E-4</v>
      </c>
      <c r="AV7" s="34" t="str">
        <f>[27]Mode_PA_h_f0_b1!K12</f>
        <v>p&lt;0.001</v>
      </c>
      <c r="AW7" s="24">
        <f>[27]Mode_PA_h_f0_b1!C13</f>
        <v>-8.9999999999999993E-3</v>
      </c>
      <c r="AX7" s="19">
        <f>[27]Mode_PA_h_f0_b1!D13</f>
        <v>-0.85602072995003098</v>
      </c>
      <c r="AY7" s="19">
        <f>[27]Mode_PA_h_f0_b1!E13</f>
        <v>0.83890562248414102</v>
      </c>
      <c r="AZ7" s="19">
        <f>[27]Mode_PA_h_f0_b1!F13</f>
        <v>0.432</v>
      </c>
      <c r="BA7" s="19">
        <f>[27]Mode_PA_h_f0_b1!G13</f>
        <v>-0.02</v>
      </c>
      <c r="BB7" s="19">
        <f>[27]Mode_PA_h_f0_b1!H13</f>
        <v>610.48</v>
      </c>
      <c r="BC7" s="43">
        <f>[27]Mode_PA_h_f0_b1!I13</f>
        <v>0.98399999999999999</v>
      </c>
      <c r="BD7" s="43">
        <f>[27]Mode_PA_h_f0_b1!J13</f>
        <v>0.98399999999999999</v>
      </c>
      <c r="BE7" s="34">
        <f>[27]Mode_PA_h_f0_b1!K13</f>
        <v>0</v>
      </c>
    </row>
    <row r="8" spans="1:57" ht="33.6" customHeight="1" thickBot="1" x14ac:dyDescent="0.3">
      <c r="A8" s="25" t="s">
        <v>5</v>
      </c>
      <c r="B8" s="26" t="e">
        <f>#REF!</f>
        <v>#REF!</v>
      </c>
      <c r="C8" s="26" t="e">
        <f>#REF!</f>
        <v>#REF!</v>
      </c>
      <c r="D8" s="26">
        <f>[28]Mode_PA_f0_exc_b1!C8</f>
        <v>-2.8319999999999999</v>
      </c>
      <c r="E8" s="26">
        <f>[28]Mode_PA_f0_exc_b1!D8</f>
        <v>-4.4241599908335303</v>
      </c>
      <c r="F8" s="26">
        <f>[28]Mode_PA_f0_exc_b1!E8</f>
        <v>-1.2388962281909199</v>
      </c>
      <c r="G8" s="26">
        <f>[28]Mode_PA_f0_exc_b1!F8</f>
        <v>0.81100000000000005</v>
      </c>
      <c r="H8" s="26">
        <f>[28]Mode_PA_f0_exc_b1!G8</f>
        <v>-3.492</v>
      </c>
      <c r="I8" s="26">
        <f>[28]Mode_PA_f0_exc_b1!H8</f>
        <v>609.54</v>
      </c>
      <c r="J8" s="43">
        <f>[28]Mode_PA_f0_exc_b1!I8</f>
        <v>5.1000000000000004E-4</v>
      </c>
      <c r="K8" s="43">
        <f>[28]Mode_PA_f0_exc_b1!J8</f>
        <v>1E-3</v>
      </c>
      <c r="L8" s="82" t="str">
        <f>[28]Mode_PA_f0_exc_b1!K8</f>
        <v>p&lt;0.01</v>
      </c>
      <c r="M8" s="26">
        <f>[28]Mode_PA_f0_exc_b1!C9</f>
        <v>3.6309999999999998</v>
      </c>
      <c r="N8" s="26">
        <f>[28]Mode_PA_f0_exc_b1!D9</f>
        <v>2.99901827025539</v>
      </c>
      <c r="O8" s="26">
        <f>[28]Mode_PA_f0_exc_b1!E9</f>
        <v>4.2633294345496902</v>
      </c>
      <c r="P8" s="26">
        <f>[28]Mode_PA_f0_exc_b1!F9</f>
        <v>0.32200000000000001</v>
      </c>
      <c r="Q8" s="26">
        <f>[28]Mode_PA_f0_exc_b1!G9</f>
        <v>11.281000000000001</v>
      </c>
      <c r="R8" s="26">
        <f>[28]Mode_PA_f0_exc_b1!H9</f>
        <v>608.72</v>
      </c>
      <c r="S8" s="43">
        <f>[28]Mode_PA_f0_exc_b1!I9</f>
        <v>6.1999999999999997E-27</v>
      </c>
      <c r="T8" s="43">
        <f>[28]Mode_PA_f0_exc_b1!J9</f>
        <v>9.7999999999999998E-26</v>
      </c>
      <c r="U8" s="34" t="str">
        <f>[28]Mode_PA_f0_exc_b1!K9</f>
        <v>p&lt;0.0001</v>
      </c>
      <c r="V8" s="27">
        <f>[28]Mode_PA_f0_exc_b1!C10</f>
        <v>1.1850000000000001</v>
      </c>
      <c r="W8" s="26">
        <f>[28]Mode_PA_f0_exc_b1!D10</f>
        <v>0.69191196706534797</v>
      </c>
      <c r="X8" s="26">
        <f>[28]Mode_PA_f0_exc_b1!E10</f>
        <v>1.67786229883583</v>
      </c>
      <c r="Y8" s="26">
        <f>[28]Mode_PA_f0_exc_b1!F10</f>
        <v>0.251</v>
      </c>
      <c r="Z8" s="26">
        <f>[28]Mode_PA_f0_exc_b1!G10</f>
        <v>4.72</v>
      </c>
      <c r="AA8" s="26">
        <f>[28]Mode_PA_f0_exc_b1!H10</f>
        <v>612.25</v>
      </c>
      <c r="AB8" s="43">
        <f>[28]Mode_PA_f0_exc_b1!I10</f>
        <v>2.9000000000000002E-6</v>
      </c>
      <c r="AC8" s="43">
        <f>[28]Mode_PA_f0_exc_b1!J10</f>
        <v>8.6000000000000007E-6</v>
      </c>
      <c r="AD8" s="34" t="str">
        <f>[28]Mode_PA_f0_exc_b1!K10</f>
        <v>p&lt;0.0001</v>
      </c>
      <c r="AE8" s="26">
        <f>[28]Mode_PA_f0_exc_b1!C11</f>
        <v>6.4630000000000001</v>
      </c>
      <c r="AF8" s="26">
        <f>[28]Mode_PA_f0_exc_b1!D11</f>
        <v>4.8163044103559001</v>
      </c>
      <c r="AG8" s="26">
        <f>[28]Mode_PA_f0_exc_b1!E11</f>
        <v>8.1090995131965293</v>
      </c>
      <c r="AH8" s="26">
        <f>[28]Mode_PA_f0_exc_b1!F11</f>
        <v>0.83799999999999997</v>
      </c>
      <c r="AI8" s="26">
        <f>[28]Mode_PA_f0_exc_b1!G11</f>
        <v>7.7089999999999996</v>
      </c>
      <c r="AJ8" s="26">
        <f>[28]Mode_PA_f0_exc_b1!H11</f>
        <v>609.54</v>
      </c>
      <c r="AK8" s="43">
        <f>[28]Mode_PA_f0_exc_b1!I11</f>
        <v>5.1999999999999999E-14</v>
      </c>
      <c r="AL8" s="43">
        <f>[28]Mode_PA_f0_exc_b1!J11</f>
        <v>3.0999999999999999E-13</v>
      </c>
      <c r="AM8" s="34" t="str">
        <f>[28]Mode_PA_f0_exc_b1!K11</f>
        <v>p&lt;0.0001</v>
      </c>
      <c r="AN8" s="27">
        <f>[28]Mode_PA_f0_exc_b1!C12</f>
        <v>4.016</v>
      </c>
      <c r="AO8" s="26">
        <f>[28]Mode_PA_f0_exc_b1!D12</f>
        <v>2.4460282843314398</v>
      </c>
      <c r="AP8" s="26">
        <f>[28]Mode_PA_f0_exc_b1!E12</f>
        <v>5.5868022003215403</v>
      </c>
      <c r="AQ8" s="26">
        <f>[28]Mode_PA_f0_exc_b1!F12</f>
        <v>0.8</v>
      </c>
      <c r="AR8" s="26">
        <f>[28]Mode_PA_f0_exc_b1!G12</f>
        <v>5.0229999999999997</v>
      </c>
      <c r="AS8" s="26">
        <f>[28]Mode_PA_f0_exc_b1!H12</f>
        <v>610.63</v>
      </c>
      <c r="AT8" s="43">
        <f>[28]Mode_PA_f0_exc_b1!I12</f>
        <v>6.7000000000000004E-7</v>
      </c>
      <c r="AU8" s="43">
        <f>[28]Mode_PA_f0_exc_b1!J12</f>
        <v>2.0999999999999998E-6</v>
      </c>
      <c r="AV8" s="34" t="str">
        <f>[28]Mode_PA_f0_exc_b1!K12</f>
        <v>p&lt;0.0001</v>
      </c>
      <c r="AW8" s="27">
        <f>[28]Mode_PA_f0_exc_b1!C13</f>
        <v>-2.4460000000000002</v>
      </c>
      <c r="AX8" s="26">
        <f>[28]Mode_PA_f0_exc_b1!D13</f>
        <v>-3.0745931630236298</v>
      </c>
      <c r="AY8" s="26">
        <f>[28]Mode_PA_f0_exc_b1!E13</f>
        <v>-1.8179802760174999</v>
      </c>
      <c r="AZ8" s="26">
        <f>[28]Mode_PA_f0_exc_b1!F13</f>
        <v>0.32</v>
      </c>
      <c r="BA8" s="26">
        <f>[28]Mode_PA_f0_exc_b1!G13</f>
        <v>-7.6459999999999999</v>
      </c>
      <c r="BB8" s="26">
        <f>[28]Mode_PA_f0_exc_b1!H13</f>
        <v>611.05999999999995</v>
      </c>
      <c r="BC8" s="43">
        <f>[28]Mode_PA_f0_exc_b1!I13</f>
        <v>8.0999999999999996E-14</v>
      </c>
      <c r="BD8" s="43">
        <f>[28]Mode_PA_f0_exc_b1!J13</f>
        <v>4.7000000000000002E-13</v>
      </c>
      <c r="BE8" s="34" t="str">
        <f>[28]Mode_PA_f0_exc_b1!K13</f>
        <v>p&lt;0.0001</v>
      </c>
    </row>
    <row r="9" spans="1:57" ht="33.6" customHeight="1" thickBot="1" x14ac:dyDescent="0.3">
      <c r="A9" s="30" t="s">
        <v>54</v>
      </c>
      <c r="B9" s="26" t="e">
        <f>#REF!</f>
        <v>#REF!</v>
      </c>
      <c r="C9" s="26" t="e">
        <f>#REF!</f>
        <v>#REF!</v>
      </c>
      <c r="D9" s="25">
        <f>[29]Mode_PA_lh_mean_f0_b1!C8</f>
        <v>0.998</v>
      </c>
      <c r="E9" s="25">
        <f>[29]Mode_PA_lh_mean_f0_b1!D8</f>
        <v>-0.62461948199060102</v>
      </c>
      <c r="F9" s="25">
        <f>[29]Mode_PA_lh_mean_f0_b1!E8</f>
        <v>2.6209665747120798</v>
      </c>
      <c r="G9" s="25">
        <f>[29]Mode_PA_lh_mean_f0_b1!F8</f>
        <v>0.82599999999999996</v>
      </c>
      <c r="H9" s="26">
        <f>[29]Mode_PA_lh_mean_f0_b1!G8</f>
        <v>1.208</v>
      </c>
      <c r="I9" s="26">
        <f>[29]Mode_PA_lh_mean_f0_b1!H8</f>
        <v>600.28</v>
      </c>
      <c r="J9" s="43">
        <f>[29]Mode_PA_lh_mean_f0_b1!I8</f>
        <v>0.22800000000000001</v>
      </c>
      <c r="K9" s="43">
        <f>[29]Mode_PA_lh_mean_f0_b1!J8</f>
        <v>0.28999999999999998</v>
      </c>
      <c r="L9" s="82">
        <f>[29]Mode_PA_lh_mean_f0_b1!K8</f>
        <v>0</v>
      </c>
      <c r="M9" s="25">
        <f>[29]Mode_PA_lh_mean_f0_b1!C9</f>
        <v>2.2130000000000001</v>
      </c>
      <c r="N9" s="26">
        <f>[29]Mode_PA_lh_mean_f0_b1!D9</f>
        <v>1.5338105597015399</v>
      </c>
      <c r="O9" s="26">
        <f>[29]Mode_PA_lh_mean_f0_b1!E9</f>
        <v>2.8916041651295799</v>
      </c>
      <c r="P9" s="26">
        <f>[29]Mode_PA_lh_mean_f0_b1!F9</f>
        <v>0.34599999999999997</v>
      </c>
      <c r="Q9" s="26">
        <f>[29]Mode_PA_lh_mean_f0_b1!G9</f>
        <v>6.4009999999999998</v>
      </c>
      <c r="R9" s="26">
        <f>[29]Mode_PA_lh_mean_f0_b1!H9</f>
        <v>599.23</v>
      </c>
      <c r="S9" s="43">
        <f>[29]Mode_PA_lh_mean_f0_b1!I9</f>
        <v>3.1000000000000002E-10</v>
      </c>
      <c r="T9" s="43">
        <f>[29]Mode_PA_lh_mean_f0_b1!J9</f>
        <v>1.3000000000000001E-9</v>
      </c>
      <c r="U9" s="34" t="str">
        <f>[29]Mode_PA_lh_mean_f0_b1!K9</f>
        <v>p&lt;0.0001</v>
      </c>
      <c r="V9" s="31">
        <f>[29]Mode_PA_lh_mean_f0_b1!C10</f>
        <v>3.1789999999999998</v>
      </c>
      <c r="W9" s="26">
        <f>[29]Mode_PA_lh_mean_f0_b1!D10</f>
        <v>2.6624850022811799</v>
      </c>
      <c r="X9" s="26">
        <f>[29]Mode_PA_lh_mean_f0_b1!E10</f>
        <v>3.6952876131989698</v>
      </c>
      <c r="Y9" s="26">
        <f>[29]Mode_PA_lh_mean_f0_b1!F10</f>
        <v>0.26300000000000001</v>
      </c>
      <c r="Z9" s="26">
        <f>[29]Mode_PA_lh_mean_f0_b1!G10</f>
        <v>12.09</v>
      </c>
      <c r="AA9" s="26">
        <f>[29]Mode_PA_lh_mean_f0_b1!H10</f>
        <v>598.59</v>
      </c>
      <c r="AB9" s="43">
        <f>[29]Mode_PA_lh_mean_f0_b1!I10</f>
        <v>2.8999999999999999E-30</v>
      </c>
      <c r="AC9" s="43">
        <f>[29]Mode_PA_lh_mean_f0_b1!J10</f>
        <v>7.3999999999999995E-29</v>
      </c>
      <c r="AD9" s="34" t="str">
        <f>[29]Mode_PA_lh_mean_f0_b1!K10</f>
        <v>p&lt;0.0001</v>
      </c>
      <c r="AE9" s="25">
        <f>[29]Mode_PA_lh_mean_f0_b1!C11</f>
        <v>1.2150000000000001</v>
      </c>
      <c r="AF9" s="26">
        <f>[29]Mode_PA_lh_mean_f0_b1!D11</f>
        <v>-0.46674811825404999</v>
      </c>
      <c r="AG9" s="26">
        <f>[29]Mode_PA_lh_mean_f0_b1!E11</f>
        <v>2.89581574910373</v>
      </c>
      <c r="AH9" s="26">
        <f>[29]Mode_PA_lh_mean_f0_b1!F11</f>
        <v>0.85599999999999998</v>
      </c>
      <c r="AI9" s="26">
        <f>[29]Mode_PA_lh_mean_f0_b1!G11</f>
        <v>1.419</v>
      </c>
      <c r="AJ9" s="26">
        <f>[29]Mode_PA_lh_mean_f0_b1!H11</f>
        <v>599.72</v>
      </c>
      <c r="AK9" s="43">
        <f>[29]Mode_PA_lh_mean_f0_b1!I11</f>
        <v>0.157</v>
      </c>
      <c r="AL9" s="43">
        <f>[29]Mode_PA_lh_mean_f0_b1!J11</f>
        <v>0.21</v>
      </c>
      <c r="AM9" s="34">
        <f>[29]Mode_PA_lh_mean_f0_b1!K11</f>
        <v>0</v>
      </c>
      <c r="AN9" s="31">
        <f>[29]Mode_PA_lh_mean_f0_b1!C12</f>
        <v>2.181</v>
      </c>
      <c r="AO9" s="26">
        <f>[29]Mode_PA_lh_mean_f0_b1!D12</f>
        <v>0.58259054137577504</v>
      </c>
      <c r="AP9" s="26">
        <f>[29]Mode_PA_lh_mean_f0_b1!E12</f>
        <v>3.7788349802785799</v>
      </c>
      <c r="AQ9" s="26">
        <f>[29]Mode_PA_lh_mean_f0_b1!F12</f>
        <v>0.81399999999999995</v>
      </c>
      <c r="AR9" s="26">
        <f>[29]Mode_PA_lh_mean_f0_b1!G12</f>
        <v>2.68</v>
      </c>
      <c r="AS9" s="26">
        <f>[29]Mode_PA_lh_mean_f0_b1!H12</f>
        <v>600.34</v>
      </c>
      <c r="AT9" s="43">
        <f>[29]Mode_PA_lh_mean_f0_b1!I12</f>
        <v>8.0000000000000002E-3</v>
      </c>
      <c r="AU9" s="43">
        <f>[29]Mode_PA_lh_mean_f0_b1!J12</f>
        <v>1.2999999999999999E-2</v>
      </c>
      <c r="AV9" s="34" t="str">
        <f>[29]Mode_PA_lh_mean_f0_b1!K12</f>
        <v>p&lt;0.05</v>
      </c>
      <c r="AW9" s="31">
        <f>[29]Mode_PA_lh_mean_f0_b1!C13</f>
        <v>0.96599999999999997</v>
      </c>
      <c r="AX9" s="26">
        <f>[29]Mode_PA_lh_mean_f0_b1!D13</f>
        <v>0.30459327404834602</v>
      </c>
      <c r="AY9" s="26">
        <f>[29]Mode_PA_lh_mean_f0_b1!E13</f>
        <v>1.62776461647215</v>
      </c>
      <c r="AZ9" s="26">
        <f>[29]Mode_PA_lh_mean_f0_b1!F13</f>
        <v>0.33700000000000002</v>
      </c>
      <c r="BA9" s="26">
        <f>[29]Mode_PA_lh_mean_f0_b1!G13</f>
        <v>2.8679999999999999</v>
      </c>
      <c r="BB9" s="26">
        <f>[29]Mode_PA_lh_mean_f0_b1!H13</f>
        <v>599.89</v>
      </c>
      <c r="BC9" s="43">
        <f>[29]Mode_PA_lh_mean_f0_b1!I13</f>
        <v>4.0000000000000001E-3</v>
      </c>
      <c r="BD9" s="43">
        <f>[29]Mode_PA_lh_mean_f0_b1!J13</f>
        <v>7.0000000000000001E-3</v>
      </c>
      <c r="BE9" s="34" t="str">
        <f>[29]Mode_PA_lh_mean_f0_b1!K13</f>
        <v>p&lt;0.01</v>
      </c>
    </row>
    <row r="10" spans="1:57" ht="33.6" customHeight="1" thickTop="1" thickBot="1" x14ac:dyDescent="0.3">
      <c r="A10" s="35" t="s">
        <v>6</v>
      </c>
      <c r="B10" s="35" t="s">
        <v>52</v>
      </c>
      <c r="C10" s="35" t="s">
        <v>53</v>
      </c>
      <c r="D10" s="35" t="s">
        <v>31</v>
      </c>
      <c r="E10" s="35" t="str">
        <f t="shared" ref="E10:BE10" si="5">E5</f>
        <v xml:space="preserve">SE </v>
      </c>
      <c r="F10" s="35" t="str">
        <f t="shared" si="5"/>
        <v>2.5% CI</v>
      </c>
      <c r="G10" s="35" t="str">
        <f t="shared" si="5"/>
        <v>97.5% CI</v>
      </c>
      <c r="H10" s="35" t="str">
        <f t="shared" si="5"/>
        <v>t</v>
      </c>
      <c r="I10" s="35" t="str">
        <f t="shared" si="5"/>
        <v>df</v>
      </c>
      <c r="J10" s="35" t="str">
        <f t="shared" si="5"/>
        <v>p. val.</v>
      </c>
      <c r="K10" s="36" t="str">
        <f t="shared" si="5"/>
        <v>p.adj (BH)</v>
      </c>
      <c r="L10" s="36" t="str">
        <f t="shared" si="5"/>
        <v>sig.</v>
      </c>
      <c r="M10" s="35" t="str">
        <f t="shared" si="5"/>
        <v>β1</v>
      </c>
      <c r="N10" s="35" t="str">
        <f t="shared" si="5"/>
        <v xml:space="preserve">SE </v>
      </c>
      <c r="O10" s="35" t="str">
        <f t="shared" si="5"/>
        <v>2.5% CI</v>
      </c>
      <c r="P10" s="35" t="str">
        <f t="shared" si="5"/>
        <v>97.5% CI</v>
      </c>
      <c r="Q10" s="35" t="str">
        <f t="shared" si="5"/>
        <v>t</v>
      </c>
      <c r="R10" s="35" t="str">
        <f t="shared" si="5"/>
        <v>df</v>
      </c>
      <c r="S10" s="38" t="str">
        <f t="shared" si="5"/>
        <v>p. val.</v>
      </c>
      <c r="T10" s="38" t="str">
        <f t="shared" si="5"/>
        <v>p.adj (BH)</v>
      </c>
      <c r="U10" s="39" t="str">
        <f t="shared" si="5"/>
        <v>sig.</v>
      </c>
      <c r="V10" s="37" t="str">
        <f t="shared" si="5"/>
        <v>β1</v>
      </c>
      <c r="W10" s="35" t="str">
        <f t="shared" si="5"/>
        <v xml:space="preserve">SE </v>
      </c>
      <c r="X10" s="35" t="str">
        <f t="shared" si="5"/>
        <v>2.5% CI</v>
      </c>
      <c r="Y10" s="35" t="str">
        <f t="shared" si="5"/>
        <v>97.5% CI</v>
      </c>
      <c r="Z10" s="35" t="str">
        <f t="shared" si="5"/>
        <v>t</v>
      </c>
      <c r="AA10" s="35" t="str">
        <f t="shared" si="5"/>
        <v>df</v>
      </c>
      <c r="AB10" s="38" t="str">
        <f t="shared" si="5"/>
        <v>p. val.</v>
      </c>
      <c r="AC10" s="38" t="str">
        <f t="shared" si="5"/>
        <v>p.adj (BH)</v>
      </c>
      <c r="AD10" s="39" t="str">
        <f t="shared" si="5"/>
        <v>sig.</v>
      </c>
      <c r="AE10" s="35" t="str">
        <f t="shared" si="5"/>
        <v>β1</v>
      </c>
      <c r="AF10" s="35" t="str">
        <f t="shared" si="5"/>
        <v xml:space="preserve">SE </v>
      </c>
      <c r="AG10" s="35" t="str">
        <f t="shared" si="5"/>
        <v>2.5% CI</v>
      </c>
      <c r="AH10" s="35" t="str">
        <f t="shared" si="5"/>
        <v>97.5% CI</v>
      </c>
      <c r="AI10" s="35" t="str">
        <f t="shared" si="5"/>
        <v>t</v>
      </c>
      <c r="AJ10" s="35" t="str">
        <f t="shared" si="5"/>
        <v>df</v>
      </c>
      <c r="AK10" s="38" t="str">
        <f t="shared" si="5"/>
        <v>p. val.</v>
      </c>
      <c r="AL10" s="38" t="str">
        <f t="shared" si="5"/>
        <v>p.adj (BH)</v>
      </c>
      <c r="AM10" s="39" t="str">
        <f t="shared" si="5"/>
        <v>sig.</v>
      </c>
      <c r="AN10" s="37" t="str">
        <f t="shared" si="5"/>
        <v>β1</v>
      </c>
      <c r="AO10" s="35" t="str">
        <f t="shared" si="5"/>
        <v xml:space="preserve">SE </v>
      </c>
      <c r="AP10" s="35" t="str">
        <f t="shared" si="5"/>
        <v>2.5% CI</v>
      </c>
      <c r="AQ10" s="35" t="str">
        <f t="shared" si="5"/>
        <v>97.5% CI</v>
      </c>
      <c r="AR10" s="35" t="str">
        <f t="shared" si="5"/>
        <v>t</v>
      </c>
      <c r="AS10" s="35" t="str">
        <f t="shared" si="5"/>
        <v>df</v>
      </c>
      <c r="AT10" s="38" t="str">
        <f t="shared" si="5"/>
        <v>p. val.</v>
      </c>
      <c r="AU10" s="38" t="str">
        <f t="shared" si="5"/>
        <v>p.adj (BH)</v>
      </c>
      <c r="AV10" s="39" t="str">
        <f t="shared" si="5"/>
        <v>sig.</v>
      </c>
      <c r="AW10" s="37" t="str">
        <f t="shared" si="5"/>
        <v>β1</v>
      </c>
      <c r="AX10" s="35" t="str">
        <f t="shared" si="5"/>
        <v xml:space="preserve">SE </v>
      </c>
      <c r="AY10" s="35" t="str">
        <f t="shared" si="5"/>
        <v>2.5% CI</v>
      </c>
      <c r="AZ10" s="35" t="str">
        <f t="shared" si="5"/>
        <v>97.5% CI</v>
      </c>
      <c r="BA10" s="35" t="str">
        <f t="shared" si="5"/>
        <v>t</v>
      </c>
      <c r="BB10" s="35" t="str">
        <f t="shared" si="5"/>
        <v>df</v>
      </c>
      <c r="BC10" s="38" t="str">
        <f t="shared" si="5"/>
        <v>p. val.</v>
      </c>
      <c r="BD10" s="38" t="str">
        <f t="shared" si="5"/>
        <v>p.adj (BH)</v>
      </c>
      <c r="BE10" s="40" t="str">
        <f t="shared" si="5"/>
        <v>sig.</v>
      </c>
    </row>
    <row r="11" spans="1:57" ht="33.6" customHeight="1" thickTop="1" thickBot="1" x14ac:dyDescent="0.3">
      <c r="A11" s="28" t="s">
        <v>4</v>
      </c>
      <c r="B11" s="21" t="e">
        <f>#REF!</f>
        <v>#REF!</v>
      </c>
      <c r="C11" s="21" t="e">
        <f>#REF!</f>
        <v>#REF!</v>
      </c>
      <c r="D11" s="20">
        <f>[30]Mode_PA_l_t_b1!C8</f>
        <v>13.842000000000001</v>
      </c>
      <c r="E11" s="20">
        <f>[30]Mode_PA_l_t_b1!D8</f>
        <v>-7.7286761016436296</v>
      </c>
      <c r="F11" s="20">
        <f>[30]Mode_PA_l_t_b1!E8</f>
        <v>35.411761488235797</v>
      </c>
      <c r="G11" s="20">
        <f>[30]Mode_PA_l_t_b1!F8</f>
        <v>10.983000000000001</v>
      </c>
      <c r="H11" s="21">
        <f>[30]Mode_PA_l_t_b1!G8</f>
        <v>1.26</v>
      </c>
      <c r="I11" s="21">
        <f>[30]Mode_PA_l_t_b1!H8</f>
        <v>606.73</v>
      </c>
      <c r="J11" s="43">
        <f>[30]Mode_PA_l_t_b1!I8</f>
        <v>0.20799999999999999</v>
      </c>
      <c r="K11" s="43">
        <f>[30]Mode_PA_l_t_b1!J8</f>
        <v>0.26700000000000002</v>
      </c>
      <c r="L11" s="82">
        <f>[30]Mode_PA_l_t_b1!K8</f>
        <v>0</v>
      </c>
      <c r="M11" s="20">
        <f>[30]Mode_PA_l_t_b1!C9</f>
        <v>-4.0629999999999997</v>
      </c>
      <c r="N11" s="21">
        <f>[30]Mode_PA_l_t_b1!D9</f>
        <v>-12.6427494005663</v>
      </c>
      <c r="O11" s="21">
        <f>[30]Mode_PA_l_t_b1!E9</f>
        <v>4.5162345382764499</v>
      </c>
      <c r="P11" s="21">
        <f>[30]Mode_PA_l_t_b1!F9</f>
        <v>4.3689999999999998</v>
      </c>
      <c r="Q11" s="21">
        <f>[30]Mode_PA_l_t_b1!G9</f>
        <v>-0.93</v>
      </c>
      <c r="R11" s="21">
        <f>[30]Mode_PA_l_t_b1!H9</f>
        <v>607.47</v>
      </c>
      <c r="S11" s="43">
        <f>[30]Mode_PA_l_t_b1!I9</f>
        <v>0.35299999999999998</v>
      </c>
      <c r="T11" s="43">
        <f>[30]Mode_PA_l_t_b1!J9</f>
        <v>0.43099999999999999</v>
      </c>
      <c r="U11" s="34">
        <f>[30]Mode_PA_l_t_b1!K9</f>
        <v>0</v>
      </c>
      <c r="V11" s="29">
        <f>[30]Mode_PA_l_t_b1!C10</f>
        <v>-2.0190000000000001</v>
      </c>
      <c r="W11" s="21">
        <f>[30]Mode_PA_l_t_b1!D10</f>
        <v>-8.6991730733742596</v>
      </c>
      <c r="X11" s="21">
        <f>[30]Mode_PA_l_t_b1!E10</f>
        <v>4.6607931810943404</v>
      </c>
      <c r="Y11" s="21">
        <f>[30]Mode_PA_l_t_b1!F10</f>
        <v>3.4009999999999998</v>
      </c>
      <c r="Z11" s="21">
        <f>[30]Mode_PA_l_t_b1!G10</f>
        <v>-0.59399999999999997</v>
      </c>
      <c r="AA11" s="21">
        <f>[30]Mode_PA_l_t_b1!H10</f>
        <v>608.59</v>
      </c>
      <c r="AB11" s="43">
        <f>[30]Mode_PA_l_t_b1!I10</f>
        <v>0.55300000000000005</v>
      </c>
      <c r="AC11" s="43">
        <f>[30]Mode_PA_l_t_b1!J10</f>
        <v>0.627</v>
      </c>
      <c r="AD11" s="34">
        <f>[30]Mode_PA_l_t_b1!K10</f>
        <v>0</v>
      </c>
      <c r="AE11" s="20">
        <f>[30]Mode_PA_l_t_b1!C11</f>
        <v>-17.905000000000001</v>
      </c>
      <c r="AF11" s="21">
        <f>[30]Mode_PA_l_t_b1!D11</f>
        <v>-40.173241334541203</v>
      </c>
      <c r="AG11" s="21">
        <f>[30]Mode_PA_l_t_b1!E11</f>
        <v>4.3636491167081601</v>
      </c>
      <c r="AH11" s="21">
        <f>[30]Mode_PA_l_t_b1!F11</f>
        <v>11.339</v>
      </c>
      <c r="AI11" s="21">
        <f>[30]Mode_PA_l_t_b1!G11</f>
        <v>-1.579</v>
      </c>
      <c r="AJ11" s="21">
        <f>[30]Mode_PA_l_t_b1!H11</f>
        <v>605.26</v>
      </c>
      <c r="AK11" s="43">
        <f>[30]Mode_PA_l_t_b1!I11</f>
        <v>0.115</v>
      </c>
      <c r="AL11" s="43">
        <f>[30]Mode_PA_l_t_b1!J11</f>
        <v>0.16</v>
      </c>
      <c r="AM11" s="34">
        <f>[30]Mode_PA_l_t_b1!K11</f>
        <v>0</v>
      </c>
      <c r="AN11" s="29">
        <f>[30]Mode_PA_l_t_b1!C12</f>
        <v>-15.861000000000001</v>
      </c>
      <c r="AO11" s="21">
        <f>[30]Mode_PA_l_t_b1!D12</f>
        <v>-37.137151826048502</v>
      </c>
      <c r="AP11" s="21">
        <f>[30]Mode_PA_l_t_b1!E12</f>
        <v>5.41569007626219</v>
      </c>
      <c r="AQ11" s="21">
        <f>[30]Mode_PA_l_t_b1!F12</f>
        <v>10.834</v>
      </c>
      <c r="AR11" s="21">
        <f>[30]Mode_PA_l_t_b1!G12</f>
        <v>-1.464</v>
      </c>
      <c r="AS11" s="21">
        <f>[30]Mode_PA_l_t_b1!H12</f>
        <v>608.38</v>
      </c>
      <c r="AT11" s="43">
        <f>[30]Mode_PA_l_t_b1!I12</f>
        <v>0.14399999999999999</v>
      </c>
      <c r="AU11" s="43">
        <f>[30]Mode_PA_l_t_b1!J12</f>
        <v>0.19500000000000001</v>
      </c>
      <c r="AV11" s="34">
        <f>[30]Mode_PA_l_t_b1!K12</f>
        <v>0</v>
      </c>
      <c r="AW11" s="29">
        <f>[30]Mode_PA_l_t_b1!C13</f>
        <v>2.044</v>
      </c>
      <c r="AX11" s="21">
        <f>[30]Mode_PA_l_t_b1!D13</f>
        <v>-6.4797959443461899</v>
      </c>
      <c r="AY11" s="21">
        <f>[30]Mode_PA_l_t_b1!E13</f>
        <v>10.5679236230505</v>
      </c>
      <c r="AZ11" s="21">
        <f>[30]Mode_PA_l_t_b1!F13</f>
        <v>4.34</v>
      </c>
      <c r="BA11" s="21">
        <f>[30]Mode_PA_l_t_b1!G13</f>
        <v>0.47099999999999997</v>
      </c>
      <c r="BB11" s="21">
        <f>[30]Mode_PA_l_t_b1!H13</f>
        <v>609.01</v>
      </c>
      <c r="BC11" s="43">
        <f>[30]Mode_PA_l_t_b1!I13</f>
        <v>0.63800000000000001</v>
      </c>
      <c r="BD11" s="43">
        <f>[30]Mode_PA_l_t_b1!J13</f>
        <v>0.71699999999999997</v>
      </c>
      <c r="BE11" s="34">
        <f>[30]Mode_PA_l_t_b1!K13</f>
        <v>0</v>
      </c>
    </row>
    <row r="12" spans="1:57" ht="33.6" customHeight="1" thickBot="1" x14ac:dyDescent="0.3">
      <c r="A12" s="30" t="s">
        <v>3</v>
      </c>
      <c r="B12" s="26" t="e">
        <f>#REF!</f>
        <v>#REF!</v>
      </c>
      <c r="C12" s="26" t="e">
        <f>#REF!</f>
        <v>#REF!</v>
      </c>
      <c r="D12" s="25">
        <f>[31]Mode_PA_h_t_b1!C8</f>
        <v>-49.881999999999998</v>
      </c>
      <c r="E12" s="25">
        <f>[31]Mode_PA_h_t_b1!D8</f>
        <v>-82.044816438502707</v>
      </c>
      <c r="F12" s="25">
        <f>[31]Mode_PA_h_t_b1!E8</f>
        <v>-17.7191099339265</v>
      </c>
      <c r="G12" s="25">
        <f>[31]Mode_PA_h_t_b1!F8</f>
        <v>16.376999999999999</v>
      </c>
      <c r="H12" s="26">
        <f>[31]Mode_PA_h_t_b1!G8</f>
        <v>-3.0459999999999998</v>
      </c>
      <c r="I12" s="26">
        <f>[31]Mode_PA_h_t_b1!H8</f>
        <v>609.57000000000005</v>
      </c>
      <c r="J12" s="43">
        <f>[31]Mode_PA_h_t_b1!I8</f>
        <v>2E-3</v>
      </c>
      <c r="K12" s="43">
        <f>[31]Mode_PA_h_t_b1!J8</f>
        <v>4.0000000000000001E-3</v>
      </c>
      <c r="L12" s="82" t="str">
        <f>[31]Mode_PA_h_t_b1!K8</f>
        <v>p&lt;0.01</v>
      </c>
      <c r="M12" s="25">
        <f>[31]Mode_PA_h_t_b1!C9</f>
        <v>-0.86099999999999999</v>
      </c>
      <c r="N12" s="26">
        <f>[31]Mode_PA_h_t_b1!D9</f>
        <v>-13.6202478931702</v>
      </c>
      <c r="O12" s="26">
        <f>[31]Mode_PA_h_t_b1!E9</f>
        <v>11.8983528620118</v>
      </c>
      <c r="P12" s="26">
        <f>[31]Mode_PA_h_t_b1!F9</f>
        <v>6.4969999999999999</v>
      </c>
      <c r="Q12" s="26">
        <f>[31]Mode_PA_h_t_b1!G9</f>
        <v>-0.13300000000000001</v>
      </c>
      <c r="R12" s="26">
        <f>[31]Mode_PA_h_t_b1!H9</f>
        <v>608.66999999999996</v>
      </c>
      <c r="S12" s="43">
        <f>[31]Mode_PA_h_t_b1!I9</f>
        <v>0.89500000000000002</v>
      </c>
      <c r="T12" s="43">
        <f>[31]Mode_PA_h_t_b1!J9</f>
        <v>0.93100000000000005</v>
      </c>
      <c r="U12" s="34">
        <f>[31]Mode_PA_h_t_b1!K9</f>
        <v>0</v>
      </c>
      <c r="V12" s="31">
        <f>[31]Mode_PA_h_t_b1!C10</f>
        <v>-0.60599999999999998</v>
      </c>
      <c r="W12" s="26">
        <f>[31]Mode_PA_h_t_b1!D10</f>
        <v>-10.544624522024501</v>
      </c>
      <c r="X12" s="26">
        <f>[31]Mode_PA_h_t_b1!E10</f>
        <v>9.3327365828932507</v>
      </c>
      <c r="Y12" s="26">
        <f>[31]Mode_PA_h_t_b1!F10</f>
        <v>5.0609999999999999</v>
      </c>
      <c r="Z12" s="26">
        <f>[31]Mode_PA_h_t_b1!G10</f>
        <v>-0.12</v>
      </c>
      <c r="AA12" s="26">
        <f>[31]Mode_PA_h_t_b1!H10</f>
        <v>609.58000000000004</v>
      </c>
      <c r="AB12" s="43">
        <f>[31]Mode_PA_h_t_b1!I10</f>
        <v>0.90500000000000003</v>
      </c>
      <c r="AC12" s="43">
        <f>[31]Mode_PA_h_t_b1!J10</f>
        <v>0.93100000000000005</v>
      </c>
      <c r="AD12" s="34">
        <f>[31]Mode_PA_h_t_b1!K10</f>
        <v>0</v>
      </c>
      <c r="AE12" s="25">
        <f>[31]Mode_PA_h_t_b1!C11</f>
        <v>49.021000000000001</v>
      </c>
      <c r="AF12" s="26">
        <f>[31]Mode_PA_h_t_b1!D11</f>
        <v>15.837034689771899</v>
      </c>
      <c r="AG12" s="26">
        <f>[31]Mode_PA_h_t_b1!E11</f>
        <v>82.204996663470496</v>
      </c>
      <c r="AH12" s="26">
        <f>[31]Mode_PA_h_t_b1!F11</f>
        <v>16.896999999999998</v>
      </c>
      <c r="AI12" s="26">
        <f>[31]Mode_PA_h_t_b1!G11</f>
        <v>2.9009999999999998</v>
      </c>
      <c r="AJ12" s="26">
        <f>[31]Mode_PA_h_t_b1!H11</f>
        <v>609.64</v>
      </c>
      <c r="AK12" s="43">
        <f>[31]Mode_PA_h_t_b1!I11</f>
        <v>4.0000000000000001E-3</v>
      </c>
      <c r="AL12" s="43">
        <f>[31]Mode_PA_h_t_b1!J11</f>
        <v>7.0000000000000001E-3</v>
      </c>
      <c r="AM12" s="34" t="str">
        <f>[31]Mode_PA_h_t_b1!K11</f>
        <v>p&lt;0.01</v>
      </c>
      <c r="AN12" s="31">
        <f>[31]Mode_PA_h_t_b1!C12</f>
        <v>49.276000000000003</v>
      </c>
      <c r="AO12" s="26">
        <f>[31]Mode_PA_h_t_b1!D12</f>
        <v>17.576636459691901</v>
      </c>
      <c r="AP12" s="26">
        <f>[31]Mode_PA_h_t_b1!E12</f>
        <v>80.975401982322097</v>
      </c>
      <c r="AQ12" s="26">
        <f>[31]Mode_PA_h_t_b1!F12</f>
        <v>16.140999999999998</v>
      </c>
      <c r="AR12" s="26">
        <f>[31]Mode_PA_h_t_b1!G12</f>
        <v>3.0529999999999999</v>
      </c>
      <c r="AS12" s="26">
        <f>[31]Mode_PA_h_t_b1!H12</f>
        <v>609.27</v>
      </c>
      <c r="AT12" s="43">
        <f>[31]Mode_PA_h_t_b1!I12</f>
        <v>2E-3</v>
      </c>
      <c r="AU12" s="43">
        <f>[31]Mode_PA_h_t_b1!J12</f>
        <v>4.0000000000000001E-3</v>
      </c>
      <c r="AV12" s="34" t="str">
        <f>[31]Mode_PA_h_t_b1!K12</f>
        <v>p&lt;0.01</v>
      </c>
      <c r="AW12" s="31">
        <f>[31]Mode_PA_h_t_b1!C13</f>
        <v>0.255</v>
      </c>
      <c r="AX12" s="26">
        <f>[31]Mode_PA_h_t_b1!D13</f>
        <v>-12.4304474503218</v>
      </c>
      <c r="AY12" s="26">
        <f>[31]Mode_PA_h_t_b1!E13</f>
        <v>12.940454542958699</v>
      </c>
      <c r="AZ12" s="26">
        <f>[31]Mode_PA_h_t_b1!F13</f>
        <v>6.4589999999999996</v>
      </c>
      <c r="BA12" s="26">
        <f>[31]Mode_PA_h_t_b1!G13</f>
        <v>3.9E-2</v>
      </c>
      <c r="BB12" s="26">
        <f>[31]Mode_PA_h_t_b1!H13</f>
        <v>609.22</v>
      </c>
      <c r="BC12" s="43">
        <f>[31]Mode_PA_h_t_b1!I13</f>
        <v>0.96899999999999997</v>
      </c>
      <c r="BD12" s="43">
        <f>[31]Mode_PA_h_t_b1!J13</f>
        <v>0.98399999999999999</v>
      </c>
      <c r="BE12" s="34">
        <f>[31]Mode_PA_h_t_b1!K13</f>
        <v>0</v>
      </c>
    </row>
    <row r="13" spans="1:57" ht="33.6" customHeight="1" thickTop="1" thickBot="1" x14ac:dyDescent="0.3">
      <c r="A13" s="35" t="s">
        <v>30</v>
      </c>
      <c r="B13" s="35" t="s">
        <v>52</v>
      </c>
      <c r="C13" s="35" t="s">
        <v>53</v>
      </c>
      <c r="D13" s="35" t="s">
        <v>31</v>
      </c>
      <c r="E13" s="35" t="str">
        <f t="shared" ref="E13:BE13" si="6">E5</f>
        <v xml:space="preserve">SE </v>
      </c>
      <c r="F13" s="35" t="str">
        <f t="shared" si="6"/>
        <v>2.5% CI</v>
      </c>
      <c r="G13" s="35" t="str">
        <f t="shared" si="6"/>
        <v>97.5% CI</v>
      </c>
      <c r="H13" s="35" t="str">
        <f t="shared" si="6"/>
        <v>t</v>
      </c>
      <c r="I13" s="35" t="str">
        <f t="shared" si="6"/>
        <v>df</v>
      </c>
      <c r="J13" s="35" t="str">
        <f t="shared" si="6"/>
        <v>p. val.</v>
      </c>
      <c r="K13" s="36" t="str">
        <f t="shared" si="6"/>
        <v>p.adj (BH)</v>
      </c>
      <c r="L13" s="36" t="str">
        <f t="shared" si="6"/>
        <v>sig.</v>
      </c>
      <c r="M13" s="35" t="str">
        <f t="shared" si="6"/>
        <v>β1</v>
      </c>
      <c r="N13" s="35" t="str">
        <f t="shared" si="6"/>
        <v xml:space="preserve">SE </v>
      </c>
      <c r="O13" s="35" t="str">
        <f t="shared" si="6"/>
        <v>2.5% CI</v>
      </c>
      <c r="P13" s="35" t="str">
        <f t="shared" si="6"/>
        <v>97.5% CI</v>
      </c>
      <c r="Q13" s="35" t="str">
        <f t="shared" si="6"/>
        <v>t</v>
      </c>
      <c r="R13" s="35" t="str">
        <f t="shared" si="6"/>
        <v>df</v>
      </c>
      <c r="S13" s="38" t="str">
        <f t="shared" si="6"/>
        <v>p. val.</v>
      </c>
      <c r="T13" s="38" t="str">
        <f t="shared" si="6"/>
        <v>p.adj (BH)</v>
      </c>
      <c r="U13" s="39" t="str">
        <f t="shared" si="6"/>
        <v>sig.</v>
      </c>
      <c r="V13" s="37" t="str">
        <f t="shared" si="6"/>
        <v>β1</v>
      </c>
      <c r="W13" s="35" t="str">
        <f t="shared" si="6"/>
        <v xml:space="preserve">SE </v>
      </c>
      <c r="X13" s="35" t="str">
        <f t="shared" si="6"/>
        <v>2.5% CI</v>
      </c>
      <c r="Y13" s="35" t="str">
        <f t="shared" si="6"/>
        <v>97.5% CI</v>
      </c>
      <c r="Z13" s="35" t="str">
        <f t="shared" si="6"/>
        <v>t</v>
      </c>
      <c r="AA13" s="35" t="str">
        <f t="shared" si="6"/>
        <v>df</v>
      </c>
      <c r="AB13" s="38" t="str">
        <f t="shared" si="6"/>
        <v>p. val.</v>
      </c>
      <c r="AC13" s="38" t="str">
        <f t="shared" si="6"/>
        <v>p.adj (BH)</v>
      </c>
      <c r="AD13" s="39" t="str">
        <f t="shared" si="6"/>
        <v>sig.</v>
      </c>
      <c r="AE13" s="35" t="str">
        <f t="shared" si="6"/>
        <v>β1</v>
      </c>
      <c r="AF13" s="35" t="str">
        <f t="shared" si="6"/>
        <v xml:space="preserve">SE </v>
      </c>
      <c r="AG13" s="35" t="str">
        <f t="shared" si="6"/>
        <v>2.5% CI</v>
      </c>
      <c r="AH13" s="35" t="str">
        <f t="shared" si="6"/>
        <v>97.5% CI</v>
      </c>
      <c r="AI13" s="35" t="str">
        <f t="shared" si="6"/>
        <v>t</v>
      </c>
      <c r="AJ13" s="35" t="str">
        <f t="shared" si="6"/>
        <v>df</v>
      </c>
      <c r="AK13" s="38" t="str">
        <f t="shared" si="6"/>
        <v>p. val.</v>
      </c>
      <c r="AL13" s="38" t="str">
        <f t="shared" si="6"/>
        <v>p.adj (BH)</v>
      </c>
      <c r="AM13" s="39" t="str">
        <f t="shared" si="6"/>
        <v>sig.</v>
      </c>
      <c r="AN13" s="37" t="str">
        <f t="shared" si="6"/>
        <v>β1</v>
      </c>
      <c r="AO13" s="35" t="str">
        <f t="shared" si="6"/>
        <v xml:space="preserve">SE </v>
      </c>
      <c r="AP13" s="35" t="str">
        <f t="shared" si="6"/>
        <v>2.5% CI</v>
      </c>
      <c r="AQ13" s="35" t="str">
        <f t="shared" si="6"/>
        <v>97.5% CI</v>
      </c>
      <c r="AR13" s="35" t="str">
        <f t="shared" si="6"/>
        <v>t</v>
      </c>
      <c r="AS13" s="35" t="str">
        <f t="shared" si="6"/>
        <v>df</v>
      </c>
      <c r="AT13" s="38" t="str">
        <f t="shared" si="6"/>
        <v>p. val.</v>
      </c>
      <c r="AU13" s="38" t="str">
        <f t="shared" si="6"/>
        <v>p.adj (BH)</v>
      </c>
      <c r="AV13" s="39" t="str">
        <f t="shared" si="6"/>
        <v>sig.</v>
      </c>
      <c r="AW13" s="37" t="str">
        <f t="shared" si="6"/>
        <v>β1</v>
      </c>
      <c r="AX13" s="35" t="str">
        <f t="shared" si="6"/>
        <v xml:space="preserve">SE </v>
      </c>
      <c r="AY13" s="35" t="str">
        <f t="shared" si="6"/>
        <v>2.5% CI</v>
      </c>
      <c r="AZ13" s="35" t="str">
        <f t="shared" si="6"/>
        <v>97.5% CI</v>
      </c>
      <c r="BA13" s="35" t="str">
        <f t="shared" si="6"/>
        <v>t</v>
      </c>
      <c r="BB13" s="35" t="str">
        <f t="shared" si="6"/>
        <v>df</v>
      </c>
      <c r="BC13" s="38" t="str">
        <f t="shared" si="6"/>
        <v>p. val.</v>
      </c>
      <c r="BD13" s="38" t="str">
        <f t="shared" si="6"/>
        <v>p.adj (BH)</v>
      </c>
      <c r="BE13" s="40" t="str">
        <f t="shared" si="6"/>
        <v>sig.</v>
      </c>
    </row>
    <row r="14" spans="1:57" ht="33.6" customHeight="1" thickTop="1" x14ac:dyDescent="0.25">
      <c r="A14" s="13" t="s">
        <v>26</v>
      </c>
      <c r="B14" s="12" t="e">
        <f>#REF!</f>
        <v>#REF!</v>
      </c>
      <c r="C14" s="12" t="e">
        <f>#REF!</f>
        <v>#REF!</v>
      </c>
      <c r="D14" s="12">
        <f>[32]Mode_PA_lh_slope_b1!C8</f>
        <v>-12.752000000000001</v>
      </c>
      <c r="E14" s="13">
        <f>[32]Mode_PA_lh_slope_b1!D8</f>
        <v>-22.272931559968001</v>
      </c>
      <c r="F14" s="13">
        <f>[32]Mode_PA_lh_slope_b1!E8</f>
        <v>-3.2302377475442099</v>
      </c>
      <c r="G14" s="13">
        <f>[32]Mode_PA_lh_slope_b1!F8</f>
        <v>4.8479999999999999</v>
      </c>
      <c r="H14" s="12">
        <f>[32]Mode_PA_lh_slope_b1!G8</f>
        <v>-2.63</v>
      </c>
      <c r="I14" s="12">
        <f>[32]Mode_PA_lh_slope_b1!H8</f>
        <v>604.75</v>
      </c>
      <c r="J14" s="33">
        <f>[32]Mode_PA_lh_slope_b1!I8</f>
        <v>8.9999999999999993E-3</v>
      </c>
      <c r="K14" s="33">
        <f>[32]Mode_PA_lh_slope_b1!J8</f>
        <v>1.4E-2</v>
      </c>
      <c r="L14" s="78" t="str">
        <f>[32]Mode_PA_lh_slope_b1!K8</f>
        <v>p&lt;0.05</v>
      </c>
      <c r="M14" s="12">
        <f>[32]Mode_PA_lh_slope_b1!C9</f>
        <v>18.257000000000001</v>
      </c>
      <c r="N14" s="12">
        <f>[32]Mode_PA_lh_slope_b1!D9</f>
        <v>14.4605581076028</v>
      </c>
      <c r="O14" s="12">
        <f>[32]Mode_PA_lh_slope_b1!E9</f>
        <v>22.052494506531001</v>
      </c>
      <c r="P14" s="12">
        <f>[32]Mode_PA_lh_slope_b1!F9</f>
        <v>1.9330000000000001</v>
      </c>
      <c r="Q14" s="12">
        <f>[32]Mode_PA_lh_slope_b1!G9</f>
        <v>9.4450000000000003</v>
      </c>
      <c r="R14" s="12">
        <f>[32]Mode_PA_lh_slope_b1!H9</f>
        <v>605.59</v>
      </c>
      <c r="S14" s="33">
        <f>[32]Mode_PA_lh_slope_b1!I9</f>
        <v>7.5999999999999995E-20</v>
      </c>
      <c r="T14" s="33">
        <f>[32]Mode_PA_lh_slope_b1!J9</f>
        <v>7.2999999999999997E-19</v>
      </c>
      <c r="U14" s="44" t="str">
        <f>[32]Mode_PA_lh_slope_b1!K9</f>
        <v>p&lt;0.0001</v>
      </c>
      <c r="V14" s="32">
        <f>[32]Mode_PA_lh_slope_b1!C10</f>
        <v>5.12</v>
      </c>
      <c r="W14" s="12">
        <f>[32]Mode_PA_lh_slope_b1!D10</f>
        <v>2.1647025898302799</v>
      </c>
      <c r="X14" s="12">
        <f>[32]Mode_PA_lh_slope_b1!E10</f>
        <v>8.0744924661761406</v>
      </c>
      <c r="Y14" s="12">
        <f>[32]Mode_PA_lh_slope_b1!F10</f>
        <v>1.5049999999999999</v>
      </c>
      <c r="Z14" s="12">
        <f>[32]Mode_PA_lh_slope_b1!G10</f>
        <v>3.403</v>
      </c>
      <c r="AA14" s="12">
        <f>[32]Mode_PA_lh_slope_b1!H10</f>
        <v>608.32000000000005</v>
      </c>
      <c r="AB14" s="33">
        <f>[32]Mode_PA_lh_slope_b1!I10</f>
        <v>7.1000000000000002E-4</v>
      </c>
      <c r="AC14" s="33">
        <f>[32]Mode_PA_lh_slope_b1!J10</f>
        <v>1E-3</v>
      </c>
      <c r="AD14" s="44" t="str">
        <f>[32]Mode_PA_lh_slope_b1!K10</f>
        <v>p&lt;0.01</v>
      </c>
      <c r="AE14" s="12">
        <f>[32]Mode_PA_lh_slope_b1!C11</f>
        <v>31.007999999999999</v>
      </c>
      <c r="AF14" s="12">
        <f>[32]Mode_PA_lh_slope_b1!D11</f>
        <v>21.187648843967501</v>
      </c>
      <c r="AG14" s="12">
        <f>[32]Mode_PA_lh_slope_b1!E11</f>
        <v>40.8285730661418</v>
      </c>
      <c r="AH14" s="12">
        <f>[32]Mode_PA_lh_slope_b1!F11</f>
        <v>5</v>
      </c>
      <c r="AI14" s="12">
        <f>[32]Mode_PA_lh_slope_b1!G11</f>
        <v>6.2009999999999996</v>
      </c>
      <c r="AJ14" s="12">
        <f>[32]Mode_PA_lh_slope_b1!H11</f>
        <v>604.32000000000005</v>
      </c>
      <c r="AK14" s="33">
        <f>[32]Mode_PA_lh_slope_b1!I11</f>
        <v>1.0000000000000001E-9</v>
      </c>
      <c r="AL14" s="33">
        <f>[32]Mode_PA_lh_slope_b1!J11</f>
        <v>4.0000000000000002E-9</v>
      </c>
      <c r="AM14" s="44" t="str">
        <f>[32]Mode_PA_lh_slope_b1!K11</f>
        <v>p&lt;0.0001</v>
      </c>
      <c r="AN14" s="32">
        <f>[32]Mode_PA_lh_slope_b1!C12</f>
        <v>17.870999999999999</v>
      </c>
      <c r="AO14" s="12">
        <f>[32]Mode_PA_lh_slope_b1!D12</f>
        <v>8.48309953830924</v>
      </c>
      <c r="AP14" s="12">
        <f>[32]Mode_PA_lh_slope_b1!E12</f>
        <v>27.259264812096799</v>
      </c>
      <c r="AQ14" s="12">
        <f>[32]Mode_PA_lh_slope_b1!F12</f>
        <v>4.78</v>
      </c>
      <c r="AR14" s="12">
        <f>[32]Mode_PA_lh_slope_b1!G12</f>
        <v>3.738</v>
      </c>
      <c r="AS14" s="12">
        <f>[32]Mode_PA_lh_slope_b1!H12</f>
        <v>606.32000000000005</v>
      </c>
      <c r="AT14" s="33">
        <f>[32]Mode_PA_lh_slope_b1!I12</f>
        <v>2.0000000000000001E-4</v>
      </c>
      <c r="AU14" s="33">
        <f>[32]Mode_PA_lh_slope_b1!J12</f>
        <v>4.8000000000000001E-4</v>
      </c>
      <c r="AV14" s="44" t="str">
        <f>[32]Mode_PA_lh_slope_b1!K12</f>
        <v>p&lt;0.001</v>
      </c>
      <c r="AW14" s="32">
        <f>[32]Mode_PA_lh_slope_b1!C13</f>
        <v>-13.137</v>
      </c>
      <c r="AX14" s="12">
        <f>[32]Mode_PA_lh_slope_b1!D13</f>
        <v>-16.898377372688699</v>
      </c>
      <c r="AY14" s="12">
        <f>[32]Mode_PA_lh_slope_b1!E13</f>
        <v>-9.3754801866966293</v>
      </c>
      <c r="AZ14" s="12">
        <f>[32]Mode_PA_lh_slope_b1!F13</f>
        <v>1.915</v>
      </c>
      <c r="BA14" s="12">
        <f>[32]Mode_PA_lh_slope_b1!G13</f>
        <v>-6.859</v>
      </c>
      <c r="BB14" s="12">
        <f>[32]Mode_PA_lh_slope_b1!H13</f>
        <v>607.63</v>
      </c>
      <c r="BC14" s="33">
        <f>[32]Mode_PA_lh_slope_b1!I13</f>
        <v>1.6999999999999999E-11</v>
      </c>
      <c r="BD14" s="33">
        <f>[32]Mode_PA_lh_slope_b1!J13</f>
        <v>7.7000000000000006E-11</v>
      </c>
      <c r="BE14" s="44" t="str">
        <f>[32]Mode_PA_lh_slope_b1!K13</f>
        <v>p&lt;0.0001</v>
      </c>
    </row>
    <row r="15" spans="1:57" ht="13.2" customHeight="1" x14ac:dyDescent="0.25">
      <c r="A15" s="13"/>
      <c r="B15" s="12"/>
      <c r="C15" s="12"/>
      <c r="D15" s="12"/>
      <c r="E15" s="13"/>
      <c r="F15" s="13"/>
      <c r="G15" s="13"/>
      <c r="H15" s="12"/>
      <c r="I15" s="12"/>
      <c r="J15" s="33"/>
      <c r="K15" s="33"/>
      <c r="L15" s="78"/>
      <c r="M15" s="12"/>
      <c r="N15" s="12"/>
      <c r="O15" s="12"/>
      <c r="P15" s="12"/>
      <c r="Q15" s="12"/>
      <c r="R15" s="12"/>
      <c r="S15" s="33"/>
      <c r="T15" s="33"/>
      <c r="U15" s="78"/>
      <c r="V15" s="12"/>
      <c r="W15" s="12"/>
      <c r="X15" s="12"/>
      <c r="Y15" s="12"/>
      <c r="Z15" s="12"/>
      <c r="AA15" s="12"/>
      <c r="AB15" s="33"/>
      <c r="AC15" s="33"/>
      <c r="AD15" s="78"/>
      <c r="AE15" s="12"/>
      <c r="AF15" s="12"/>
      <c r="AG15" s="12"/>
      <c r="AH15" s="12"/>
      <c r="AI15" s="12"/>
      <c r="AJ15" s="12"/>
      <c r="AK15" s="33"/>
      <c r="AL15" s="33"/>
      <c r="AM15" s="78"/>
      <c r="AN15" s="12"/>
      <c r="AO15" s="12"/>
      <c r="AP15" s="12"/>
      <c r="AQ15" s="12"/>
      <c r="AR15" s="12"/>
      <c r="AS15" s="12"/>
      <c r="AT15" s="33"/>
      <c r="AU15" s="33"/>
      <c r="AV15" s="78"/>
      <c r="AW15" s="12"/>
      <c r="AX15" s="12"/>
      <c r="AY15" s="12"/>
      <c r="AZ15" s="12"/>
      <c r="BA15" s="12"/>
      <c r="BB15" s="12"/>
      <c r="BC15" s="33"/>
      <c r="BD15" s="33"/>
      <c r="BE15" s="78"/>
    </row>
    <row r="16" spans="1:57" ht="13.2" customHeight="1" x14ac:dyDescent="0.25">
      <c r="A16" s="86" t="s">
        <v>46</v>
      </c>
      <c r="B16" s="79"/>
      <c r="C16" s="79"/>
      <c r="D16" s="80"/>
      <c r="E16" s="80"/>
      <c r="F16" s="80"/>
      <c r="G16" s="80"/>
      <c r="H16" s="80"/>
      <c r="I16" s="80"/>
      <c r="J16" s="80"/>
      <c r="K16" s="81"/>
      <c r="L16" s="81"/>
    </row>
    <row r="17" spans="1:46" ht="33.6" customHeight="1" thickBot="1" x14ac:dyDescent="0.3">
      <c r="A17" s="45" t="s">
        <v>37</v>
      </c>
      <c r="B17" s="349" t="str">
        <f>M4</f>
        <v>L*H vs. L*^[H]</v>
      </c>
      <c r="C17" s="349"/>
      <c r="D17" s="349"/>
      <c r="E17" s="349"/>
      <c r="F17" s="349"/>
      <c r="G17" s="349"/>
      <c r="H17" s="349"/>
      <c r="I17" s="349"/>
      <c r="J17" s="349"/>
      <c r="K17" s="349"/>
      <c r="L17" s="349"/>
    </row>
    <row r="18" spans="1:46" ht="33.6" customHeight="1" thickTop="1" thickBot="1" x14ac:dyDescent="0.3">
      <c r="A18" s="35" t="s">
        <v>28</v>
      </c>
      <c r="B18" s="35" t="s">
        <v>52</v>
      </c>
      <c r="C18" s="35" t="s">
        <v>53</v>
      </c>
      <c r="D18" s="35" t="s">
        <v>31</v>
      </c>
      <c r="E18" s="35" t="str">
        <f t="shared" ref="E18:L22" si="7">N5</f>
        <v xml:space="preserve">SE </v>
      </c>
      <c r="F18" s="35" t="str">
        <f t="shared" si="7"/>
        <v>2.5% CI</v>
      </c>
      <c r="G18" s="35" t="str">
        <f t="shared" si="7"/>
        <v>97.5% CI</v>
      </c>
      <c r="H18" s="35" t="str">
        <f t="shared" si="7"/>
        <v>t</v>
      </c>
      <c r="I18" s="35" t="str">
        <f t="shared" si="7"/>
        <v>df</v>
      </c>
      <c r="J18" s="38" t="str">
        <f t="shared" si="7"/>
        <v>p. val.</v>
      </c>
      <c r="K18" s="38" t="str">
        <f t="shared" si="7"/>
        <v>p.adj (BH)</v>
      </c>
      <c r="L18" s="36" t="str">
        <f t="shared" si="7"/>
        <v>sig.</v>
      </c>
    </row>
    <row r="19" spans="1:46" ht="33.6" customHeight="1" thickTop="1" thickBot="1" x14ac:dyDescent="0.3">
      <c r="A19" s="20" t="s">
        <v>23</v>
      </c>
      <c r="B19" s="21" t="e">
        <f t="shared" ref="B19:C22" si="8">B6</f>
        <v>#REF!</v>
      </c>
      <c r="C19" s="21" t="e">
        <f t="shared" si="8"/>
        <v>#REF!</v>
      </c>
      <c r="D19" s="21">
        <f>M6</f>
        <v>0.71599999999999997</v>
      </c>
      <c r="E19" s="21">
        <f t="shared" si="7"/>
        <v>0.109810559163631</v>
      </c>
      <c r="F19" s="21">
        <f t="shared" si="7"/>
        <v>1.3228377311159101</v>
      </c>
      <c r="G19" s="21">
        <f t="shared" si="7"/>
        <v>0.309</v>
      </c>
      <c r="H19" s="21">
        <f t="shared" si="7"/>
        <v>2.3199999999999998</v>
      </c>
      <c r="I19" s="21">
        <f t="shared" si="7"/>
        <v>599.23</v>
      </c>
      <c r="J19" s="43">
        <f t="shared" si="7"/>
        <v>2.1000000000000001E-2</v>
      </c>
      <c r="K19" s="43">
        <f t="shared" si="7"/>
        <v>3.3000000000000002E-2</v>
      </c>
      <c r="L19" s="82" t="str">
        <f t="shared" si="7"/>
        <v>p&lt;0.05</v>
      </c>
    </row>
    <row r="20" spans="1:46" ht="33.6" customHeight="1" thickBot="1" x14ac:dyDescent="0.3">
      <c r="A20" s="23" t="s">
        <v>24</v>
      </c>
      <c r="B20" s="19" t="e">
        <f t="shared" si="8"/>
        <v>#REF!</v>
      </c>
      <c r="C20" s="19" t="e">
        <f t="shared" si="8"/>
        <v>#REF!</v>
      </c>
      <c r="D20" s="19">
        <f>M7</f>
        <v>3.577</v>
      </c>
      <c r="E20" s="19">
        <f t="shared" si="7"/>
        <v>2.7248136399718699</v>
      </c>
      <c r="F20" s="19">
        <f t="shared" si="7"/>
        <v>4.4287303056152298</v>
      </c>
      <c r="G20" s="19">
        <f t="shared" si="7"/>
        <v>0.434</v>
      </c>
      <c r="H20" s="19">
        <f t="shared" si="7"/>
        <v>8.2449999999999992</v>
      </c>
      <c r="I20" s="19">
        <f t="shared" si="7"/>
        <v>610.16999999999996</v>
      </c>
      <c r="J20" s="43">
        <f t="shared" si="7"/>
        <v>1.0000000000000001E-15</v>
      </c>
      <c r="K20" s="43">
        <f t="shared" si="7"/>
        <v>7.8999999999999998E-15</v>
      </c>
      <c r="L20" s="82" t="str">
        <f t="shared" si="7"/>
        <v>p&lt;0.0001</v>
      </c>
      <c r="AT20" s="18" t="s">
        <v>44</v>
      </c>
    </row>
    <row r="21" spans="1:46" ht="33.6" customHeight="1" thickBot="1" x14ac:dyDescent="0.3">
      <c r="A21" s="25" t="s">
        <v>5</v>
      </c>
      <c r="B21" s="26" t="e">
        <f t="shared" si="8"/>
        <v>#REF!</v>
      </c>
      <c r="C21" s="26" t="e">
        <f t="shared" si="8"/>
        <v>#REF!</v>
      </c>
      <c r="D21" s="26">
        <f>M8</f>
        <v>3.6309999999999998</v>
      </c>
      <c r="E21" s="26">
        <f t="shared" si="7"/>
        <v>2.99901827025539</v>
      </c>
      <c r="F21" s="26">
        <f t="shared" si="7"/>
        <v>4.2633294345496902</v>
      </c>
      <c r="G21" s="26">
        <f t="shared" si="7"/>
        <v>0.32200000000000001</v>
      </c>
      <c r="H21" s="26">
        <f t="shared" si="7"/>
        <v>11.281000000000001</v>
      </c>
      <c r="I21" s="26">
        <f t="shared" si="7"/>
        <v>608.72</v>
      </c>
      <c r="J21" s="43">
        <f t="shared" si="7"/>
        <v>6.1999999999999997E-27</v>
      </c>
      <c r="K21" s="43">
        <f t="shared" si="7"/>
        <v>9.7999999999999998E-26</v>
      </c>
      <c r="L21" s="82" t="str">
        <f t="shared" si="7"/>
        <v>p&lt;0.0001</v>
      </c>
    </row>
    <row r="22" spans="1:46" ht="33.6" customHeight="1" thickBot="1" x14ac:dyDescent="0.3">
      <c r="A22" s="30" t="s">
        <v>54</v>
      </c>
      <c r="B22" s="26" t="e">
        <f t="shared" si="8"/>
        <v>#REF!</v>
      </c>
      <c r="C22" s="26" t="e">
        <f t="shared" si="8"/>
        <v>#REF!</v>
      </c>
      <c r="D22" s="26">
        <f>M9</f>
        <v>2.2130000000000001</v>
      </c>
      <c r="E22" s="26">
        <f t="shared" si="7"/>
        <v>1.5338105597015399</v>
      </c>
      <c r="F22" s="26">
        <f t="shared" si="7"/>
        <v>2.8916041651295799</v>
      </c>
      <c r="G22" s="26">
        <f t="shared" si="7"/>
        <v>0.34599999999999997</v>
      </c>
      <c r="H22" s="26">
        <f t="shared" si="7"/>
        <v>6.4009999999999998</v>
      </c>
      <c r="I22" s="26">
        <f t="shared" si="7"/>
        <v>599.23</v>
      </c>
      <c r="J22" s="43">
        <f t="shared" si="7"/>
        <v>3.1000000000000002E-10</v>
      </c>
      <c r="K22" s="43">
        <f t="shared" si="7"/>
        <v>1.3000000000000001E-9</v>
      </c>
      <c r="L22" s="82" t="str">
        <f t="shared" si="7"/>
        <v>p&lt;0.0001</v>
      </c>
    </row>
    <row r="23" spans="1:46" ht="33.6" customHeight="1" thickTop="1" thickBot="1" x14ac:dyDescent="0.3">
      <c r="A23" s="35" t="s">
        <v>6</v>
      </c>
      <c r="B23" s="35" t="s">
        <v>52</v>
      </c>
      <c r="C23" s="35" t="s">
        <v>53</v>
      </c>
      <c r="D23" s="35" t="s">
        <v>31</v>
      </c>
      <c r="E23" s="35" t="str">
        <f t="shared" ref="E23:L27" si="9">N10</f>
        <v xml:space="preserve">SE </v>
      </c>
      <c r="F23" s="35" t="str">
        <f t="shared" si="9"/>
        <v>2.5% CI</v>
      </c>
      <c r="G23" s="35" t="str">
        <f t="shared" si="9"/>
        <v>97.5% CI</v>
      </c>
      <c r="H23" s="35" t="str">
        <f t="shared" si="9"/>
        <v>t</v>
      </c>
      <c r="I23" s="35" t="str">
        <f t="shared" si="9"/>
        <v>df</v>
      </c>
      <c r="J23" s="38" t="str">
        <f t="shared" si="9"/>
        <v>p. val.</v>
      </c>
      <c r="K23" s="38" t="str">
        <f t="shared" si="9"/>
        <v>p.adj (BH)</v>
      </c>
      <c r="L23" s="36" t="str">
        <f t="shared" si="9"/>
        <v>sig.</v>
      </c>
    </row>
    <row r="24" spans="1:46" ht="33.6" customHeight="1" thickTop="1" thickBot="1" x14ac:dyDescent="0.3">
      <c r="A24" s="28" t="s">
        <v>4</v>
      </c>
      <c r="B24" s="21" t="e">
        <f>B11</f>
        <v>#REF!</v>
      </c>
      <c r="C24" s="21" t="e">
        <f>C11</f>
        <v>#REF!</v>
      </c>
      <c r="D24" s="20">
        <f>M11</f>
        <v>-4.0629999999999997</v>
      </c>
      <c r="E24" s="21">
        <f t="shared" si="9"/>
        <v>-12.6427494005663</v>
      </c>
      <c r="F24" s="21">
        <f t="shared" si="9"/>
        <v>4.5162345382764499</v>
      </c>
      <c r="G24" s="21">
        <f t="shared" si="9"/>
        <v>4.3689999999999998</v>
      </c>
      <c r="H24" s="21">
        <f t="shared" si="9"/>
        <v>-0.93</v>
      </c>
      <c r="I24" s="21">
        <f t="shared" si="9"/>
        <v>607.47</v>
      </c>
      <c r="J24" s="43">
        <f t="shared" si="9"/>
        <v>0.35299999999999998</v>
      </c>
      <c r="K24" s="43">
        <f t="shared" si="9"/>
        <v>0.43099999999999999</v>
      </c>
      <c r="L24" s="82">
        <f t="shared" si="9"/>
        <v>0</v>
      </c>
    </row>
    <row r="25" spans="1:46" ht="33.6" customHeight="1" thickBot="1" x14ac:dyDescent="0.3">
      <c r="A25" s="30" t="s">
        <v>3</v>
      </c>
      <c r="B25" s="26" t="e">
        <f>B12</f>
        <v>#REF!</v>
      </c>
      <c r="C25" s="26" t="e">
        <f>C12</f>
        <v>#REF!</v>
      </c>
      <c r="D25" s="25">
        <f>M12</f>
        <v>-0.86099999999999999</v>
      </c>
      <c r="E25" s="26">
        <f t="shared" si="9"/>
        <v>-13.6202478931702</v>
      </c>
      <c r="F25" s="26">
        <f t="shared" si="9"/>
        <v>11.8983528620118</v>
      </c>
      <c r="G25" s="26">
        <f t="shared" si="9"/>
        <v>6.4969999999999999</v>
      </c>
      <c r="H25" s="26">
        <f t="shared" si="9"/>
        <v>-0.13300000000000001</v>
      </c>
      <c r="I25" s="26">
        <f t="shared" si="9"/>
        <v>608.66999999999996</v>
      </c>
      <c r="J25" s="43">
        <f t="shared" si="9"/>
        <v>0.89500000000000002</v>
      </c>
      <c r="K25" s="43">
        <f t="shared" si="9"/>
        <v>0.93100000000000005</v>
      </c>
      <c r="L25" s="82">
        <f t="shared" si="9"/>
        <v>0</v>
      </c>
    </row>
    <row r="26" spans="1:46" ht="33.6" customHeight="1" thickTop="1" thickBot="1" x14ac:dyDescent="0.3">
      <c r="A26" s="35" t="s">
        <v>30</v>
      </c>
      <c r="B26" s="35" t="s">
        <v>52</v>
      </c>
      <c r="C26" s="35" t="s">
        <v>53</v>
      </c>
      <c r="D26" s="35" t="s">
        <v>31</v>
      </c>
      <c r="E26" s="35" t="str">
        <f t="shared" si="9"/>
        <v xml:space="preserve">SE </v>
      </c>
      <c r="F26" s="35" t="str">
        <f t="shared" si="9"/>
        <v>2.5% CI</v>
      </c>
      <c r="G26" s="35" t="str">
        <f t="shared" si="9"/>
        <v>97.5% CI</v>
      </c>
      <c r="H26" s="35" t="str">
        <f t="shared" si="9"/>
        <v>t</v>
      </c>
      <c r="I26" s="35" t="str">
        <f t="shared" si="9"/>
        <v>df</v>
      </c>
      <c r="J26" s="38" t="str">
        <f t="shared" si="9"/>
        <v>p. val.</v>
      </c>
      <c r="K26" s="38" t="str">
        <f t="shared" si="9"/>
        <v>p.adj (BH)</v>
      </c>
      <c r="L26" s="36" t="str">
        <f t="shared" si="9"/>
        <v>sig.</v>
      </c>
    </row>
    <row r="27" spans="1:46" ht="33.6" customHeight="1" thickTop="1" x14ac:dyDescent="0.25">
      <c r="A27" s="13" t="s">
        <v>26</v>
      </c>
      <c r="B27" s="12" t="e">
        <f>B14</f>
        <v>#REF!</v>
      </c>
      <c r="C27" s="12" t="e">
        <f>C14</f>
        <v>#REF!</v>
      </c>
      <c r="D27" s="12">
        <f>M14</f>
        <v>18.257000000000001</v>
      </c>
      <c r="E27" s="12">
        <f t="shared" si="9"/>
        <v>14.4605581076028</v>
      </c>
      <c r="F27" s="12">
        <f t="shared" si="9"/>
        <v>22.052494506531001</v>
      </c>
      <c r="G27" s="12">
        <f t="shared" si="9"/>
        <v>1.9330000000000001</v>
      </c>
      <c r="H27" s="12">
        <f t="shared" si="9"/>
        <v>9.4450000000000003</v>
      </c>
      <c r="I27" s="12">
        <f t="shared" si="9"/>
        <v>605.59</v>
      </c>
      <c r="J27" s="33">
        <f t="shared" si="9"/>
        <v>7.5999999999999995E-20</v>
      </c>
      <c r="K27" s="33">
        <f t="shared" si="9"/>
        <v>7.2999999999999997E-19</v>
      </c>
      <c r="L27" s="78" t="str">
        <f t="shared" si="9"/>
        <v>p&lt;0.0001</v>
      </c>
    </row>
    <row r="28" spans="1:46" ht="13.2" customHeight="1" x14ac:dyDescent="0.25">
      <c r="A28" s="13"/>
      <c r="B28" s="12"/>
      <c r="C28" s="12"/>
      <c r="D28" s="12"/>
      <c r="E28" s="12"/>
      <c r="F28" s="12"/>
      <c r="G28" s="12"/>
      <c r="H28" s="12"/>
      <c r="I28" s="12"/>
      <c r="J28" s="33"/>
      <c r="K28" s="33"/>
      <c r="L28" s="78"/>
    </row>
    <row r="29" spans="1:46" ht="13.2" customHeight="1" x14ac:dyDescent="0.25">
      <c r="A29" s="86" t="s">
        <v>51</v>
      </c>
      <c r="B29" s="79"/>
      <c r="C29" s="79"/>
      <c r="D29" s="80"/>
      <c r="E29" s="80"/>
      <c r="F29" s="80"/>
      <c r="G29" s="80"/>
      <c r="H29" s="80"/>
      <c r="I29" s="80"/>
      <c r="J29" s="80"/>
      <c r="K29" s="81"/>
      <c r="L29" s="81"/>
    </row>
    <row r="30" spans="1:46" ht="33.6" customHeight="1" thickBot="1" x14ac:dyDescent="0.3">
      <c r="A30" s="45" t="s">
        <v>37</v>
      </c>
      <c r="B30" s="349" t="str">
        <f>V4</f>
        <v>L*H vs. ^[L*H]</v>
      </c>
      <c r="C30" s="349"/>
      <c r="D30" s="349"/>
      <c r="E30" s="349"/>
      <c r="F30" s="349"/>
      <c r="G30" s="349"/>
      <c r="H30" s="349"/>
      <c r="I30" s="349"/>
      <c r="J30" s="349"/>
      <c r="K30" s="349"/>
      <c r="L30" s="349"/>
    </row>
    <row r="31" spans="1:46" ht="33.6" customHeight="1" thickTop="1" thickBot="1" x14ac:dyDescent="0.3">
      <c r="A31" s="35" t="s">
        <v>28</v>
      </c>
      <c r="B31" s="35" t="s">
        <v>52</v>
      </c>
      <c r="C31" s="35" t="s">
        <v>53</v>
      </c>
      <c r="D31" s="35" t="s">
        <v>31</v>
      </c>
      <c r="E31" s="35" t="str">
        <f t="shared" ref="E31:L35" si="10">W5</f>
        <v xml:space="preserve">SE </v>
      </c>
      <c r="F31" s="35" t="str">
        <f t="shared" si="10"/>
        <v>2.5% CI</v>
      </c>
      <c r="G31" s="35" t="str">
        <f t="shared" si="10"/>
        <v>97.5% CI</v>
      </c>
      <c r="H31" s="35" t="str">
        <f t="shared" si="10"/>
        <v>t</v>
      </c>
      <c r="I31" s="35" t="str">
        <f t="shared" si="10"/>
        <v>df</v>
      </c>
      <c r="J31" s="38" t="str">
        <f t="shared" si="10"/>
        <v>p. val.</v>
      </c>
      <c r="K31" s="38" t="str">
        <f t="shared" si="10"/>
        <v>p.adj (BH)</v>
      </c>
      <c r="L31" s="36" t="str">
        <f t="shared" si="10"/>
        <v>sig.</v>
      </c>
    </row>
    <row r="32" spans="1:46" ht="33.6" customHeight="1" thickTop="1" thickBot="1" x14ac:dyDescent="0.3">
      <c r="A32" s="20" t="s">
        <v>23</v>
      </c>
      <c r="B32" s="21" t="e">
        <f t="shared" ref="B32:C35" si="11">B6</f>
        <v>#REF!</v>
      </c>
      <c r="C32" s="21" t="e">
        <f t="shared" si="11"/>
        <v>#REF!</v>
      </c>
      <c r="D32" s="21">
        <f>V6</f>
        <v>2.7330000000000001</v>
      </c>
      <c r="E32" s="21">
        <f t="shared" si="10"/>
        <v>2.2651751197030698</v>
      </c>
      <c r="F32" s="21">
        <f t="shared" si="10"/>
        <v>3.20129385599936</v>
      </c>
      <c r="G32" s="21">
        <f t="shared" si="10"/>
        <v>0.23799999999999999</v>
      </c>
      <c r="H32" s="21">
        <f t="shared" si="10"/>
        <v>11.468</v>
      </c>
      <c r="I32" s="21">
        <f t="shared" si="10"/>
        <v>599.17999999999995</v>
      </c>
      <c r="J32" s="43">
        <f t="shared" si="10"/>
        <v>1.2E-27</v>
      </c>
      <c r="K32" s="43">
        <f t="shared" si="10"/>
        <v>2.2000000000000001E-26</v>
      </c>
      <c r="L32" s="82" t="str">
        <f t="shared" si="10"/>
        <v>p&lt;0.0001</v>
      </c>
    </row>
    <row r="33" spans="1:57" ht="33.6" customHeight="1" thickBot="1" x14ac:dyDescent="0.3">
      <c r="A33" s="23" t="s">
        <v>24</v>
      </c>
      <c r="B33" s="19" t="e">
        <f t="shared" si="11"/>
        <v>#REF!</v>
      </c>
      <c r="C33" s="19" t="e">
        <f t="shared" si="11"/>
        <v>#REF!</v>
      </c>
      <c r="D33" s="19">
        <f>V7</f>
        <v>3.5680000000000001</v>
      </c>
      <c r="E33" s="19">
        <f t="shared" si="10"/>
        <v>2.9027965666353199</v>
      </c>
      <c r="F33" s="19">
        <f t="shared" si="10"/>
        <v>4.2336322711520298</v>
      </c>
      <c r="G33" s="19">
        <f t="shared" si="10"/>
        <v>0.33900000000000002</v>
      </c>
      <c r="H33" s="19">
        <f t="shared" si="10"/>
        <v>10.531000000000001</v>
      </c>
      <c r="I33" s="19">
        <f t="shared" si="10"/>
        <v>610.69000000000005</v>
      </c>
      <c r="J33" s="43">
        <f t="shared" si="10"/>
        <v>6.1000000000000004E-24</v>
      </c>
      <c r="K33" s="43">
        <f t="shared" si="10"/>
        <v>8.6E-23</v>
      </c>
      <c r="L33" s="82" t="str">
        <f t="shared" si="10"/>
        <v>p&lt;0.0001</v>
      </c>
    </row>
    <row r="34" spans="1:57" ht="33.6" customHeight="1" thickBot="1" x14ac:dyDescent="0.3">
      <c r="A34" s="25" t="s">
        <v>5</v>
      </c>
      <c r="B34" s="26" t="e">
        <f t="shared" si="11"/>
        <v>#REF!</v>
      </c>
      <c r="C34" s="26" t="e">
        <f t="shared" si="11"/>
        <v>#REF!</v>
      </c>
      <c r="D34" s="26">
        <f>V8</f>
        <v>1.1850000000000001</v>
      </c>
      <c r="E34" s="26">
        <f t="shared" si="10"/>
        <v>0.69191196706534797</v>
      </c>
      <c r="F34" s="26">
        <f t="shared" si="10"/>
        <v>1.67786229883583</v>
      </c>
      <c r="G34" s="26">
        <f t="shared" si="10"/>
        <v>0.251</v>
      </c>
      <c r="H34" s="26">
        <f t="shared" si="10"/>
        <v>4.72</v>
      </c>
      <c r="I34" s="26">
        <f t="shared" si="10"/>
        <v>612.25</v>
      </c>
      <c r="J34" s="43">
        <f t="shared" si="10"/>
        <v>2.9000000000000002E-6</v>
      </c>
      <c r="K34" s="43">
        <f t="shared" si="10"/>
        <v>8.6000000000000007E-6</v>
      </c>
      <c r="L34" s="82" t="str">
        <f t="shared" si="10"/>
        <v>p&lt;0.0001</v>
      </c>
    </row>
    <row r="35" spans="1:57" ht="33.6" customHeight="1" thickBot="1" x14ac:dyDescent="0.3">
      <c r="A35" s="30" t="s">
        <v>54</v>
      </c>
      <c r="B35" s="26" t="e">
        <f t="shared" si="11"/>
        <v>#REF!</v>
      </c>
      <c r="C35" s="26" t="e">
        <f t="shared" si="11"/>
        <v>#REF!</v>
      </c>
      <c r="D35" s="26">
        <f>V9</f>
        <v>3.1789999999999998</v>
      </c>
      <c r="E35" s="26">
        <f t="shared" si="10"/>
        <v>2.6624850022811799</v>
      </c>
      <c r="F35" s="26">
        <f t="shared" si="10"/>
        <v>3.6952876131989698</v>
      </c>
      <c r="G35" s="26">
        <f t="shared" si="10"/>
        <v>0.26300000000000001</v>
      </c>
      <c r="H35" s="26">
        <f t="shared" si="10"/>
        <v>12.09</v>
      </c>
      <c r="I35" s="26">
        <f t="shared" si="10"/>
        <v>598.59</v>
      </c>
      <c r="J35" s="43">
        <f t="shared" si="10"/>
        <v>2.8999999999999999E-30</v>
      </c>
      <c r="K35" s="43">
        <f t="shared" si="10"/>
        <v>7.3999999999999995E-29</v>
      </c>
      <c r="L35" s="82" t="str">
        <f t="shared" si="10"/>
        <v>p&lt;0.0001</v>
      </c>
    </row>
    <row r="36" spans="1:57" ht="33.6" customHeight="1" thickTop="1" thickBot="1" x14ac:dyDescent="0.3">
      <c r="A36" s="35" t="s">
        <v>6</v>
      </c>
      <c r="B36" s="35" t="s">
        <v>52</v>
      </c>
      <c r="C36" s="35" t="s">
        <v>53</v>
      </c>
      <c r="D36" s="35" t="s">
        <v>31</v>
      </c>
      <c r="E36" s="35" t="str">
        <f t="shared" ref="E36:L40" si="12">W10</f>
        <v xml:space="preserve">SE </v>
      </c>
      <c r="F36" s="35" t="str">
        <f t="shared" si="12"/>
        <v>2.5% CI</v>
      </c>
      <c r="G36" s="35" t="str">
        <f t="shared" si="12"/>
        <v>97.5% CI</v>
      </c>
      <c r="H36" s="35" t="str">
        <f t="shared" si="12"/>
        <v>t</v>
      </c>
      <c r="I36" s="35" t="str">
        <f t="shared" si="12"/>
        <v>df</v>
      </c>
      <c r="J36" s="38" t="str">
        <f t="shared" si="12"/>
        <v>p. val.</v>
      </c>
      <c r="K36" s="38" t="str">
        <f t="shared" si="12"/>
        <v>p.adj (BH)</v>
      </c>
      <c r="L36" s="36" t="str">
        <f t="shared" si="12"/>
        <v>sig.</v>
      </c>
    </row>
    <row r="37" spans="1:57" ht="33.6" customHeight="1" thickTop="1" thickBot="1" x14ac:dyDescent="0.3">
      <c r="A37" s="28" t="s">
        <v>4</v>
      </c>
      <c r="B37" s="21" t="e">
        <f>B11</f>
        <v>#REF!</v>
      </c>
      <c r="C37" s="21" t="e">
        <f>C11</f>
        <v>#REF!</v>
      </c>
      <c r="D37" s="20">
        <f>V11</f>
        <v>-2.0190000000000001</v>
      </c>
      <c r="E37" s="21">
        <f t="shared" si="12"/>
        <v>-8.6991730733742596</v>
      </c>
      <c r="F37" s="21">
        <f t="shared" si="12"/>
        <v>4.6607931810943404</v>
      </c>
      <c r="G37" s="21">
        <f t="shared" si="12"/>
        <v>3.4009999999999998</v>
      </c>
      <c r="H37" s="21">
        <f t="shared" si="12"/>
        <v>-0.59399999999999997</v>
      </c>
      <c r="I37" s="21">
        <f t="shared" si="12"/>
        <v>608.59</v>
      </c>
      <c r="J37" s="43">
        <f t="shared" si="12"/>
        <v>0.55300000000000005</v>
      </c>
      <c r="K37" s="43">
        <f t="shared" si="12"/>
        <v>0.627</v>
      </c>
      <c r="L37" s="82">
        <f t="shared" si="12"/>
        <v>0</v>
      </c>
    </row>
    <row r="38" spans="1:57" ht="33.6" customHeight="1" thickBot="1" x14ac:dyDescent="0.3">
      <c r="A38" s="30" t="s">
        <v>3</v>
      </c>
      <c r="B38" s="26" t="e">
        <f>B12</f>
        <v>#REF!</v>
      </c>
      <c r="C38" s="26" t="e">
        <f>C12</f>
        <v>#REF!</v>
      </c>
      <c r="D38" s="25">
        <f>V12</f>
        <v>-0.60599999999999998</v>
      </c>
      <c r="E38" s="26">
        <f t="shared" si="12"/>
        <v>-10.544624522024501</v>
      </c>
      <c r="F38" s="26">
        <f t="shared" si="12"/>
        <v>9.3327365828932507</v>
      </c>
      <c r="G38" s="26">
        <f t="shared" si="12"/>
        <v>5.0609999999999999</v>
      </c>
      <c r="H38" s="26">
        <f t="shared" si="12"/>
        <v>-0.12</v>
      </c>
      <c r="I38" s="26">
        <f t="shared" si="12"/>
        <v>609.58000000000004</v>
      </c>
      <c r="J38" s="43">
        <f t="shared" si="12"/>
        <v>0.90500000000000003</v>
      </c>
      <c r="K38" s="43">
        <f t="shared" si="12"/>
        <v>0.93100000000000005</v>
      </c>
      <c r="L38" s="82">
        <f t="shared" si="12"/>
        <v>0</v>
      </c>
    </row>
    <row r="39" spans="1:57" ht="33.6" customHeight="1" thickTop="1" thickBot="1" x14ac:dyDescent="0.3">
      <c r="A39" s="35" t="s">
        <v>30</v>
      </c>
      <c r="B39" s="35" t="s">
        <v>52</v>
      </c>
      <c r="C39" s="35" t="s">
        <v>53</v>
      </c>
      <c r="D39" s="35" t="str">
        <f>V13</f>
        <v>β1</v>
      </c>
      <c r="E39" s="35" t="str">
        <f t="shared" si="12"/>
        <v xml:space="preserve">SE </v>
      </c>
      <c r="F39" s="35" t="str">
        <f t="shared" si="12"/>
        <v>2.5% CI</v>
      </c>
      <c r="G39" s="35" t="str">
        <f t="shared" si="12"/>
        <v>97.5% CI</v>
      </c>
      <c r="H39" s="35" t="str">
        <f t="shared" si="12"/>
        <v>t</v>
      </c>
      <c r="I39" s="35" t="str">
        <f t="shared" si="12"/>
        <v>df</v>
      </c>
      <c r="J39" s="38" t="str">
        <f t="shared" si="12"/>
        <v>p. val.</v>
      </c>
      <c r="K39" s="38" t="str">
        <f t="shared" si="12"/>
        <v>p.adj (BH)</v>
      </c>
      <c r="L39" s="36" t="str">
        <f t="shared" si="12"/>
        <v>sig.</v>
      </c>
    </row>
    <row r="40" spans="1:57" ht="33.6" customHeight="1" thickTop="1" x14ac:dyDescent="0.25">
      <c r="A40" s="13" t="s">
        <v>26</v>
      </c>
      <c r="B40" s="12" t="e">
        <f>B14</f>
        <v>#REF!</v>
      </c>
      <c r="C40" s="12" t="e">
        <f>C14</f>
        <v>#REF!</v>
      </c>
      <c r="D40" s="12">
        <f>V14</f>
        <v>5.12</v>
      </c>
      <c r="E40" s="12">
        <f t="shared" si="12"/>
        <v>2.1647025898302799</v>
      </c>
      <c r="F40" s="12">
        <f t="shared" si="12"/>
        <v>8.0744924661761406</v>
      </c>
      <c r="G40" s="12">
        <f t="shared" si="12"/>
        <v>1.5049999999999999</v>
      </c>
      <c r="H40" s="12">
        <f t="shared" si="12"/>
        <v>3.403</v>
      </c>
      <c r="I40" s="12">
        <f t="shared" si="12"/>
        <v>608.32000000000005</v>
      </c>
      <c r="J40" s="33">
        <f t="shared" si="12"/>
        <v>7.1000000000000002E-4</v>
      </c>
      <c r="K40" s="33">
        <f t="shared" si="12"/>
        <v>1E-3</v>
      </c>
      <c r="L40" s="78" t="str">
        <f t="shared" si="12"/>
        <v>p&lt;0.01</v>
      </c>
    </row>
    <row r="41" spans="1:57" ht="20.399999999999999" customHeight="1" x14ac:dyDescent="0.25">
      <c r="A41" s="350" t="s">
        <v>50</v>
      </c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</row>
    <row r="42" spans="1:57" ht="13.2" customHeight="1" x14ac:dyDescent="0.25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</row>
    <row r="43" spans="1:57" s="87" customFormat="1" ht="13.2" customHeight="1" x14ac:dyDescent="0.25">
      <c r="A43" s="86" t="s">
        <v>47</v>
      </c>
      <c r="B43" s="86"/>
      <c r="C43" s="86"/>
      <c r="D43" s="83"/>
      <c r="E43" s="83"/>
      <c r="F43" s="83"/>
      <c r="G43" s="83"/>
      <c r="H43" s="83"/>
      <c r="I43" s="83"/>
      <c r="J43" s="83"/>
      <c r="K43" s="84"/>
      <c r="L43" s="84"/>
      <c r="S43" s="88"/>
      <c r="T43" s="88"/>
      <c r="U43" s="88"/>
      <c r="AB43" s="88"/>
      <c r="AC43" s="88"/>
      <c r="AD43" s="88"/>
      <c r="AK43" s="88"/>
      <c r="AL43" s="88"/>
      <c r="AM43" s="88"/>
      <c r="AT43" s="88"/>
      <c r="AU43" s="88"/>
      <c r="AV43" s="88"/>
      <c r="BC43" s="88"/>
      <c r="BD43" s="88"/>
      <c r="BE43" s="88"/>
    </row>
    <row r="44" spans="1:57" ht="33.6" customHeight="1" thickBot="1" x14ac:dyDescent="0.3">
      <c r="A44" s="45" t="s">
        <v>37</v>
      </c>
      <c r="B44" s="349" t="str">
        <f>AE4</f>
        <v>^[L]*H vs. L*^[H]</v>
      </c>
      <c r="C44" s="349"/>
      <c r="D44" s="349"/>
      <c r="E44" s="349"/>
      <c r="F44" s="349"/>
      <c r="G44" s="349"/>
      <c r="H44" s="349"/>
      <c r="I44" s="349"/>
      <c r="J44" s="349"/>
      <c r="K44" s="349"/>
      <c r="L44" s="349"/>
    </row>
    <row r="45" spans="1:57" ht="33.6" customHeight="1" thickTop="1" thickBot="1" x14ac:dyDescent="0.3">
      <c r="A45" s="35" t="s">
        <v>28</v>
      </c>
      <c r="B45" s="35" t="s">
        <v>52</v>
      </c>
      <c r="C45" s="35" t="s">
        <v>53</v>
      </c>
      <c r="D45" s="35" t="s">
        <v>31</v>
      </c>
      <c r="E45" s="35" t="str">
        <f t="shared" ref="E45:L49" si="13">AF5</f>
        <v xml:space="preserve">SE </v>
      </c>
      <c r="F45" s="35" t="str">
        <f t="shared" si="13"/>
        <v>2.5% CI</v>
      </c>
      <c r="G45" s="35" t="str">
        <f t="shared" si="13"/>
        <v>97.5% CI</v>
      </c>
      <c r="H45" s="35" t="str">
        <f t="shared" si="13"/>
        <v>t</v>
      </c>
      <c r="I45" s="35" t="str">
        <f t="shared" si="13"/>
        <v>df</v>
      </c>
      <c r="J45" s="35" t="str">
        <f t="shared" si="13"/>
        <v>p. val.</v>
      </c>
      <c r="K45" s="35" t="str">
        <f t="shared" si="13"/>
        <v>p.adj (BH)</v>
      </c>
      <c r="L45" s="36" t="str">
        <f t="shared" si="13"/>
        <v>sig.</v>
      </c>
    </row>
    <row r="46" spans="1:57" ht="33.6" customHeight="1" thickTop="1" thickBot="1" x14ac:dyDescent="0.3">
      <c r="A46" s="20" t="s">
        <v>23</v>
      </c>
      <c r="B46" s="21" t="e">
        <f t="shared" ref="B46:C49" si="14">B6</f>
        <v>#REF!</v>
      </c>
      <c r="C46" s="21" t="e">
        <f t="shared" si="14"/>
        <v>#REF!</v>
      </c>
      <c r="D46" s="21">
        <f>AE6</f>
        <v>-2.1640000000000001</v>
      </c>
      <c r="E46" s="21">
        <f t="shared" si="13"/>
        <v>-3.6806370499734702</v>
      </c>
      <c r="F46" s="21">
        <f t="shared" si="13"/>
        <v>-0.64676155498061305</v>
      </c>
      <c r="G46" s="21">
        <f t="shared" si="13"/>
        <v>0.77200000000000002</v>
      </c>
      <c r="H46" s="21">
        <f t="shared" si="13"/>
        <v>-2.8010000000000002</v>
      </c>
      <c r="I46" s="21">
        <f t="shared" si="13"/>
        <v>600.20000000000005</v>
      </c>
      <c r="J46" s="43">
        <f t="shared" si="13"/>
        <v>5.0000000000000001E-3</v>
      </c>
      <c r="K46" s="43">
        <f t="shared" si="13"/>
        <v>8.0000000000000002E-3</v>
      </c>
      <c r="L46" s="82" t="str">
        <f t="shared" si="13"/>
        <v>p&lt;0.01</v>
      </c>
    </row>
    <row r="47" spans="1:57" ht="33.6" customHeight="1" thickBot="1" x14ac:dyDescent="0.3">
      <c r="A47" s="23" t="s">
        <v>24</v>
      </c>
      <c r="B47" s="19" t="e">
        <f t="shared" si="14"/>
        <v>#REF!</v>
      </c>
      <c r="C47" s="19" t="e">
        <f t="shared" si="14"/>
        <v>#REF!</v>
      </c>
      <c r="D47" s="19">
        <f>AE7</f>
        <v>3.85</v>
      </c>
      <c r="E47" s="19">
        <f t="shared" si="13"/>
        <v>1.6272669506864601</v>
      </c>
      <c r="F47" s="19">
        <f t="shared" si="13"/>
        <v>6.0724281061155496</v>
      </c>
      <c r="G47" s="19">
        <f t="shared" si="13"/>
        <v>1.1319999999999999</v>
      </c>
      <c r="H47" s="19">
        <f t="shared" si="13"/>
        <v>3.4020000000000001</v>
      </c>
      <c r="I47" s="19">
        <f t="shared" si="13"/>
        <v>611</v>
      </c>
      <c r="J47" s="43">
        <f t="shared" si="13"/>
        <v>7.1000000000000002E-4</v>
      </c>
      <c r="K47" s="43">
        <f t="shared" si="13"/>
        <v>1E-3</v>
      </c>
      <c r="L47" s="82" t="str">
        <f t="shared" si="13"/>
        <v>p&lt;0.01</v>
      </c>
    </row>
    <row r="48" spans="1:57" ht="33.6" customHeight="1" thickBot="1" x14ac:dyDescent="0.3">
      <c r="A48" s="25" t="s">
        <v>5</v>
      </c>
      <c r="B48" s="26" t="e">
        <f t="shared" si="14"/>
        <v>#REF!</v>
      </c>
      <c r="C48" s="26" t="e">
        <f t="shared" si="14"/>
        <v>#REF!</v>
      </c>
      <c r="D48" s="26">
        <f>AE8</f>
        <v>6.4630000000000001</v>
      </c>
      <c r="E48" s="26">
        <f t="shared" si="13"/>
        <v>4.8163044103559001</v>
      </c>
      <c r="F48" s="26">
        <f t="shared" si="13"/>
        <v>8.1090995131965293</v>
      </c>
      <c r="G48" s="26">
        <f t="shared" si="13"/>
        <v>0.83799999999999997</v>
      </c>
      <c r="H48" s="26">
        <f t="shared" si="13"/>
        <v>7.7089999999999996</v>
      </c>
      <c r="I48" s="26">
        <f t="shared" si="13"/>
        <v>609.54</v>
      </c>
      <c r="J48" s="43">
        <f t="shared" si="13"/>
        <v>5.1999999999999999E-14</v>
      </c>
      <c r="K48" s="43">
        <f t="shared" si="13"/>
        <v>3.0999999999999999E-13</v>
      </c>
      <c r="L48" s="82" t="str">
        <f t="shared" si="13"/>
        <v>p&lt;0.0001</v>
      </c>
    </row>
    <row r="49" spans="1:57" ht="33.6" customHeight="1" thickBot="1" x14ac:dyDescent="0.3">
      <c r="A49" s="30" t="s">
        <v>54</v>
      </c>
      <c r="B49" s="26" t="e">
        <f t="shared" si="14"/>
        <v>#REF!</v>
      </c>
      <c r="C49" s="26" t="e">
        <f t="shared" si="14"/>
        <v>#REF!</v>
      </c>
      <c r="D49" s="26">
        <f>AE9</f>
        <v>1.2150000000000001</v>
      </c>
      <c r="E49" s="26">
        <f t="shared" si="13"/>
        <v>-0.46674811825404999</v>
      </c>
      <c r="F49" s="26">
        <f t="shared" si="13"/>
        <v>2.89581574910373</v>
      </c>
      <c r="G49" s="26">
        <f t="shared" si="13"/>
        <v>0.85599999999999998</v>
      </c>
      <c r="H49" s="26">
        <f t="shared" si="13"/>
        <v>1.419</v>
      </c>
      <c r="I49" s="26">
        <f t="shared" si="13"/>
        <v>599.72</v>
      </c>
      <c r="J49" s="43">
        <f t="shared" si="13"/>
        <v>0.157</v>
      </c>
      <c r="K49" s="43">
        <f t="shared" si="13"/>
        <v>0.21</v>
      </c>
      <c r="L49" s="82">
        <f t="shared" si="13"/>
        <v>0</v>
      </c>
    </row>
    <row r="50" spans="1:57" ht="33.6" customHeight="1" thickTop="1" thickBot="1" x14ac:dyDescent="0.3">
      <c r="A50" s="35" t="s">
        <v>6</v>
      </c>
      <c r="B50" s="35" t="s">
        <v>52</v>
      </c>
      <c r="C50" s="35" t="s">
        <v>53</v>
      </c>
      <c r="D50" s="35" t="s">
        <v>31</v>
      </c>
      <c r="E50" s="35" t="str">
        <f t="shared" ref="E50:L54" si="15">AF10</f>
        <v xml:space="preserve">SE </v>
      </c>
      <c r="F50" s="35" t="str">
        <f t="shared" si="15"/>
        <v>2.5% CI</v>
      </c>
      <c r="G50" s="35" t="str">
        <f t="shared" si="15"/>
        <v>97.5% CI</v>
      </c>
      <c r="H50" s="35" t="str">
        <f t="shared" si="15"/>
        <v>t</v>
      </c>
      <c r="I50" s="35" t="str">
        <f t="shared" si="15"/>
        <v>df</v>
      </c>
      <c r="J50" s="35" t="str">
        <f t="shared" si="15"/>
        <v>p. val.</v>
      </c>
      <c r="K50" s="35" t="str">
        <f t="shared" si="15"/>
        <v>p.adj (BH)</v>
      </c>
      <c r="L50" s="36" t="str">
        <f t="shared" si="15"/>
        <v>sig.</v>
      </c>
    </row>
    <row r="51" spans="1:57" ht="33.6" customHeight="1" thickTop="1" thickBot="1" x14ac:dyDescent="0.3">
      <c r="A51" s="28" t="s">
        <v>4</v>
      </c>
      <c r="B51" s="21" t="e">
        <f>B11</f>
        <v>#REF!</v>
      </c>
      <c r="C51" s="21" t="e">
        <f>C11</f>
        <v>#REF!</v>
      </c>
      <c r="D51" s="20">
        <f>AE11</f>
        <v>-17.905000000000001</v>
      </c>
      <c r="E51" s="21">
        <f t="shared" si="15"/>
        <v>-40.173241334541203</v>
      </c>
      <c r="F51" s="21">
        <f t="shared" si="15"/>
        <v>4.3636491167081601</v>
      </c>
      <c r="G51" s="21">
        <f t="shared" si="15"/>
        <v>11.339</v>
      </c>
      <c r="H51" s="21">
        <f t="shared" si="15"/>
        <v>-1.579</v>
      </c>
      <c r="I51" s="21">
        <f t="shared" si="15"/>
        <v>605.26</v>
      </c>
      <c r="J51" s="43">
        <f t="shared" si="15"/>
        <v>0.115</v>
      </c>
      <c r="K51" s="43">
        <f t="shared" si="15"/>
        <v>0.16</v>
      </c>
      <c r="L51" s="82">
        <f t="shared" si="15"/>
        <v>0</v>
      </c>
    </row>
    <row r="52" spans="1:57" ht="33.6" customHeight="1" thickBot="1" x14ac:dyDescent="0.3">
      <c r="A52" s="30" t="s">
        <v>3</v>
      </c>
      <c r="B52" s="26" t="e">
        <f>B12</f>
        <v>#REF!</v>
      </c>
      <c r="C52" s="26" t="e">
        <f>C12</f>
        <v>#REF!</v>
      </c>
      <c r="D52" s="25">
        <f>AE12</f>
        <v>49.021000000000001</v>
      </c>
      <c r="E52" s="26">
        <f t="shared" si="15"/>
        <v>15.837034689771899</v>
      </c>
      <c r="F52" s="26">
        <f t="shared" si="15"/>
        <v>82.204996663470496</v>
      </c>
      <c r="G52" s="26">
        <f t="shared" si="15"/>
        <v>16.896999999999998</v>
      </c>
      <c r="H52" s="26">
        <f t="shared" si="15"/>
        <v>2.9009999999999998</v>
      </c>
      <c r="I52" s="26">
        <f t="shared" si="15"/>
        <v>609.64</v>
      </c>
      <c r="J52" s="43">
        <f t="shared" si="15"/>
        <v>4.0000000000000001E-3</v>
      </c>
      <c r="K52" s="43">
        <f t="shared" si="15"/>
        <v>7.0000000000000001E-3</v>
      </c>
      <c r="L52" s="82" t="str">
        <f t="shared" si="15"/>
        <v>p&lt;0.01</v>
      </c>
    </row>
    <row r="53" spans="1:57" ht="33.6" customHeight="1" thickTop="1" thickBot="1" x14ac:dyDescent="0.3">
      <c r="A53" s="35" t="s">
        <v>30</v>
      </c>
      <c r="B53" s="35" t="s">
        <v>52</v>
      </c>
      <c r="C53" s="35" t="s">
        <v>53</v>
      </c>
      <c r="D53" s="35" t="s">
        <v>31</v>
      </c>
      <c r="E53" s="35" t="str">
        <f t="shared" si="15"/>
        <v xml:space="preserve">SE </v>
      </c>
      <c r="F53" s="35" t="str">
        <f t="shared" si="15"/>
        <v>2.5% CI</v>
      </c>
      <c r="G53" s="35" t="str">
        <f t="shared" si="15"/>
        <v>97.5% CI</v>
      </c>
      <c r="H53" s="35" t="str">
        <f t="shared" si="15"/>
        <v>t</v>
      </c>
      <c r="I53" s="35" t="str">
        <f t="shared" si="15"/>
        <v>df</v>
      </c>
      <c r="J53" s="35" t="str">
        <f t="shared" si="15"/>
        <v>p. val.</v>
      </c>
      <c r="K53" s="35" t="str">
        <f t="shared" si="15"/>
        <v>p.adj (BH)</v>
      </c>
      <c r="L53" s="36" t="str">
        <f t="shared" si="15"/>
        <v>sig.</v>
      </c>
    </row>
    <row r="54" spans="1:57" ht="33.6" customHeight="1" thickTop="1" x14ac:dyDescent="0.25">
      <c r="A54" s="13" t="s">
        <v>26</v>
      </c>
      <c r="B54" s="12" t="e">
        <f>B14</f>
        <v>#REF!</v>
      </c>
      <c r="C54" s="12" t="e">
        <f>C14</f>
        <v>#REF!</v>
      </c>
      <c r="D54" s="12">
        <f>AE14</f>
        <v>31.007999999999999</v>
      </c>
      <c r="E54" s="12">
        <f t="shared" si="15"/>
        <v>21.187648843967501</v>
      </c>
      <c r="F54" s="12">
        <f t="shared" si="15"/>
        <v>40.8285730661418</v>
      </c>
      <c r="G54" s="12">
        <f t="shared" si="15"/>
        <v>5</v>
      </c>
      <c r="H54" s="12">
        <f t="shared" si="15"/>
        <v>6.2009999999999996</v>
      </c>
      <c r="I54" s="12">
        <f t="shared" si="15"/>
        <v>604.32000000000005</v>
      </c>
      <c r="J54" s="33">
        <f t="shared" si="15"/>
        <v>1.0000000000000001E-9</v>
      </c>
      <c r="K54" s="33">
        <f t="shared" si="15"/>
        <v>4.0000000000000002E-9</v>
      </c>
      <c r="L54" s="78" t="str">
        <f t="shared" si="15"/>
        <v>p&lt;0.0001</v>
      </c>
    </row>
    <row r="55" spans="1:57" ht="13.2" customHeight="1" x14ac:dyDescent="0.25">
      <c r="A55" s="13"/>
      <c r="B55" s="12"/>
      <c r="C55" s="12"/>
      <c r="D55" s="12"/>
      <c r="E55" s="12"/>
      <c r="F55" s="12"/>
      <c r="G55" s="12"/>
      <c r="H55" s="12"/>
      <c r="I55" s="12"/>
      <c r="J55" s="33"/>
      <c r="K55" s="33"/>
      <c r="L55" s="78"/>
    </row>
    <row r="56" spans="1:57" s="87" customFormat="1" ht="13.2" customHeight="1" x14ac:dyDescent="0.25">
      <c r="A56" s="86" t="s">
        <v>48</v>
      </c>
      <c r="B56" s="86"/>
      <c r="C56" s="86"/>
      <c r="D56" s="83"/>
      <c r="E56" s="83"/>
      <c r="F56" s="83"/>
      <c r="G56" s="83"/>
      <c r="H56" s="83"/>
      <c r="I56" s="83"/>
      <c r="J56" s="83"/>
      <c r="K56" s="84"/>
      <c r="L56" s="84"/>
      <c r="S56" s="88"/>
      <c r="T56" s="88"/>
      <c r="U56" s="88"/>
      <c r="AB56" s="88"/>
      <c r="AC56" s="88"/>
      <c r="AD56" s="88"/>
      <c r="AK56" s="88"/>
      <c r="AL56" s="88"/>
      <c r="AM56" s="88"/>
      <c r="AT56" s="88"/>
      <c r="AU56" s="88"/>
      <c r="AV56" s="88"/>
      <c r="BC56" s="88"/>
      <c r="BD56" s="88"/>
      <c r="BE56" s="88"/>
    </row>
    <row r="57" spans="1:57" ht="33.6" customHeight="1" thickBot="1" x14ac:dyDescent="0.3">
      <c r="A57" s="45" t="s">
        <v>37</v>
      </c>
      <c r="B57" s="349" t="str">
        <f>AN4</f>
        <v>^[L]*H vs. ^[L*H]</v>
      </c>
      <c r="C57" s="349"/>
      <c r="D57" s="349"/>
      <c r="E57" s="349"/>
      <c r="F57" s="349"/>
      <c r="G57" s="349"/>
      <c r="H57" s="349"/>
      <c r="I57" s="349"/>
      <c r="J57" s="349"/>
      <c r="K57" s="349"/>
      <c r="L57" s="349"/>
    </row>
    <row r="58" spans="1:57" ht="33.6" customHeight="1" thickTop="1" thickBot="1" x14ac:dyDescent="0.3">
      <c r="A58" s="35" t="s">
        <v>28</v>
      </c>
      <c r="B58" s="35" t="s">
        <v>52</v>
      </c>
      <c r="C58" s="35" t="s">
        <v>53</v>
      </c>
      <c r="D58" s="35" t="s">
        <v>31</v>
      </c>
      <c r="E58" s="35" t="str">
        <f t="shared" ref="E58:L62" si="16">AO5</f>
        <v xml:space="preserve">SE </v>
      </c>
      <c r="F58" s="35" t="str">
        <f t="shared" si="16"/>
        <v>2.5% CI</v>
      </c>
      <c r="G58" s="35" t="str">
        <f t="shared" si="16"/>
        <v>97.5% CI</v>
      </c>
      <c r="H58" s="35" t="str">
        <f t="shared" si="16"/>
        <v>t</v>
      </c>
      <c r="I58" s="35" t="str">
        <f t="shared" si="16"/>
        <v>df</v>
      </c>
      <c r="J58" s="35" t="str">
        <f t="shared" si="16"/>
        <v>p. val.</v>
      </c>
      <c r="K58" s="35" t="str">
        <f t="shared" si="16"/>
        <v>p.adj (BH)</v>
      </c>
      <c r="L58" s="36" t="str">
        <f t="shared" si="16"/>
        <v>sig.</v>
      </c>
    </row>
    <row r="59" spans="1:57" ht="33.6" customHeight="1" thickTop="1" thickBot="1" x14ac:dyDescent="0.3">
      <c r="A59" s="20" t="s">
        <v>23</v>
      </c>
      <c r="B59" s="21" t="e">
        <f t="shared" ref="B59:C62" si="17">B6</f>
        <v>#REF!</v>
      </c>
      <c r="C59" s="21" t="e">
        <f t="shared" si="17"/>
        <v>#REF!</v>
      </c>
      <c r="D59" s="21">
        <f>AN6</f>
        <v>-0.14699999999999999</v>
      </c>
      <c r="E59" s="21">
        <f t="shared" si="16"/>
        <v>-1.5892615115800499</v>
      </c>
      <c r="F59" s="21">
        <f t="shared" si="16"/>
        <v>1.2956835949843299</v>
      </c>
      <c r="G59" s="21">
        <f t="shared" si="16"/>
        <v>0.73399999999999999</v>
      </c>
      <c r="H59" s="21">
        <f t="shared" si="16"/>
        <v>-0.2</v>
      </c>
      <c r="I59" s="21">
        <f t="shared" si="16"/>
        <v>599.91</v>
      </c>
      <c r="J59" s="43">
        <f t="shared" si="16"/>
        <v>0.84199999999999997</v>
      </c>
      <c r="K59" s="43">
        <f t="shared" si="16"/>
        <v>0.90600000000000003</v>
      </c>
      <c r="L59" s="82">
        <f t="shared" si="16"/>
        <v>0</v>
      </c>
    </row>
    <row r="60" spans="1:57" ht="33.6" customHeight="1" thickBot="1" x14ac:dyDescent="0.3">
      <c r="A60" s="23" t="s">
        <v>24</v>
      </c>
      <c r="B60" s="19" t="e">
        <f t="shared" si="17"/>
        <v>#REF!</v>
      </c>
      <c r="C60" s="19" t="e">
        <f t="shared" si="17"/>
        <v>#REF!</v>
      </c>
      <c r="D60" s="19">
        <f>AN7</f>
        <v>3.8410000000000002</v>
      </c>
      <c r="E60" s="19">
        <f t="shared" si="16"/>
        <v>1.7225676834208301</v>
      </c>
      <c r="F60" s="19">
        <f t="shared" si="16"/>
        <v>5.9600122655439902</v>
      </c>
      <c r="G60" s="19">
        <f t="shared" si="16"/>
        <v>1.079</v>
      </c>
      <c r="H60" s="19">
        <f t="shared" si="16"/>
        <v>3.5609999999999999</v>
      </c>
      <c r="I60" s="19">
        <f t="shared" si="16"/>
        <v>610.77</v>
      </c>
      <c r="J60" s="43">
        <f t="shared" si="16"/>
        <v>4.0000000000000002E-4</v>
      </c>
      <c r="K60" s="43">
        <f t="shared" si="16"/>
        <v>9.1E-4</v>
      </c>
      <c r="L60" s="82" t="str">
        <f t="shared" si="16"/>
        <v>p&lt;0.001</v>
      </c>
    </row>
    <row r="61" spans="1:57" ht="33.6" customHeight="1" thickBot="1" x14ac:dyDescent="0.3">
      <c r="A61" s="25" t="s">
        <v>5</v>
      </c>
      <c r="B61" s="26" t="e">
        <f t="shared" si="17"/>
        <v>#REF!</v>
      </c>
      <c r="C61" s="26" t="e">
        <f t="shared" si="17"/>
        <v>#REF!</v>
      </c>
      <c r="D61" s="26">
        <f>AN8</f>
        <v>4.016</v>
      </c>
      <c r="E61" s="26">
        <f t="shared" si="16"/>
        <v>2.4460282843314398</v>
      </c>
      <c r="F61" s="26">
        <f t="shared" si="16"/>
        <v>5.5868022003215403</v>
      </c>
      <c r="G61" s="26">
        <f t="shared" si="16"/>
        <v>0.8</v>
      </c>
      <c r="H61" s="26">
        <f t="shared" si="16"/>
        <v>5.0229999999999997</v>
      </c>
      <c r="I61" s="26">
        <f t="shared" si="16"/>
        <v>610.63</v>
      </c>
      <c r="J61" s="43">
        <f t="shared" si="16"/>
        <v>6.7000000000000004E-7</v>
      </c>
      <c r="K61" s="43">
        <f t="shared" si="16"/>
        <v>2.0999999999999998E-6</v>
      </c>
      <c r="L61" s="82" t="str">
        <f t="shared" si="16"/>
        <v>p&lt;0.0001</v>
      </c>
    </row>
    <row r="62" spans="1:57" ht="33.6" customHeight="1" thickBot="1" x14ac:dyDescent="0.3">
      <c r="A62" s="30" t="s">
        <v>54</v>
      </c>
      <c r="B62" s="26" t="e">
        <f t="shared" si="17"/>
        <v>#REF!</v>
      </c>
      <c r="C62" s="26" t="e">
        <f t="shared" si="17"/>
        <v>#REF!</v>
      </c>
      <c r="D62" s="26">
        <f>AN9</f>
        <v>2.181</v>
      </c>
      <c r="E62" s="26">
        <f t="shared" si="16"/>
        <v>0.58259054137577504</v>
      </c>
      <c r="F62" s="26">
        <f t="shared" si="16"/>
        <v>3.7788349802785799</v>
      </c>
      <c r="G62" s="26">
        <f t="shared" si="16"/>
        <v>0.81399999999999995</v>
      </c>
      <c r="H62" s="26">
        <f t="shared" si="16"/>
        <v>2.68</v>
      </c>
      <c r="I62" s="26">
        <f t="shared" si="16"/>
        <v>600.34</v>
      </c>
      <c r="J62" s="43">
        <f t="shared" si="16"/>
        <v>8.0000000000000002E-3</v>
      </c>
      <c r="K62" s="43">
        <f t="shared" si="16"/>
        <v>1.2999999999999999E-2</v>
      </c>
      <c r="L62" s="82" t="str">
        <f t="shared" si="16"/>
        <v>p&lt;0.05</v>
      </c>
    </row>
    <row r="63" spans="1:57" ht="33.6" customHeight="1" thickTop="1" thickBot="1" x14ac:dyDescent="0.3">
      <c r="A63" s="35" t="s">
        <v>6</v>
      </c>
      <c r="B63" s="35" t="s">
        <v>52</v>
      </c>
      <c r="C63" s="35" t="s">
        <v>53</v>
      </c>
      <c r="D63" s="35" t="s">
        <v>31</v>
      </c>
      <c r="E63" s="35" t="str">
        <f t="shared" ref="E63:L67" si="18">AO10</f>
        <v xml:space="preserve">SE </v>
      </c>
      <c r="F63" s="35" t="str">
        <f t="shared" si="18"/>
        <v>2.5% CI</v>
      </c>
      <c r="G63" s="35" t="str">
        <f t="shared" si="18"/>
        <v>97.5% CI</v>
      </c>
      <c r="H63" s="35" t="str">
        <f t="shared" si="18"/>
        <v>t</v>
      </c>
      <c r="I63" s="35" t="str">
        <f t="shared" si="18"/>
        <v>df</v>
      </c>
      <c r="J63" s="35" t="str">
        <f t="shared" si="18"/>
        <v>p. val.</v>
      </c>
      <c r="K63" s="35" t="str">
        <f t="shared" si="18"/>
        <v>p.adj (BH)</v>
      </c>
      <c r="L63" s="36" t="str">
        <f t="shared" si="18"/>
        <v>sig.</v>
      </c>
    </row>
    <row r="64" spans="1:57" ht="33.6" customHeight="1" thickTop="1" thickBot="1" x14ac:dyDescent="0.3">
      <c r="A64" s="28" t="s">
        <v>4</v>
      </c>
      <c r="B64" s="21" t="e">
        <f>B11</f>
        <v>#REF!</v>
      </c>
      <c r="C64" s="21" t="e">
        <f>C11</f>
        <v>#REF!</v>
      </c>
      <c r="D64" s="20">
        <f>AN11</f>
        <v>-15.861000000000001</v>
      </c>
      <c r="E64" s="21">
        <f t="shared" si="18"/>
        <v>-37.137151826048502</v>
      </c>
      <c r="F64" s="21">
        <f t="shared" si="18"/>
        <v>5.41569007626219</v>
      </c>
      <c r="G64" s="21">
        <f t="shared" si="18"/>
        <v>10.834</v>
      </c>
      <c r="H64" s="21">
        <f t="shared" si="18"/>
        <v>-1.464</v>
      </c>
      <c r="I64" s="21">
        <f t="shared" si="18"/>
        <v>608.38</v>
      </c>
      <c r="J64" s="43">
        <f t="shared" si="18"/>
        <v>0.14399999999999999</v>
      </c>
      <c r="K64" s="43">
        <f t="shared" si="18"/>
        <v>0.19500000000000001</v>
      </c>
      <c r="L64" s="82">
        <f t="shared" si="18"/>
        <v>0</v>
      </c>
    </row>
    <row r="65" spans="1:57" ht="33.6" customHeight="1" thickBot="1" x14ac:dyDescent="0.3">
      <c r="A65" s="30" t="s">
        <v>3</v>
      </c>
      <c r="B65" s="26" t="e">
        <f>B12</f>
        <v>#REF!</v>
      </c>
      <c r="C65" s="26" t="e">
        <f>C12</f>
        <v>#REF!</v>
      </c>
      <c r="D65" s="25">
        <f>AN12</f>
        <v>49.276000000000003</v>
      </c>
      <c r="E65" s="26">
        <f t="shared" si="18"/>
        <v>17.576636459691901</v>
      </c>
      <c r="F65" s="26">
        <f t="shared" si="18"/>
        <v>80.975401982322097</v>
      </c>
      <c r="G65" s="26">
        <f t="shared" si="18"/>
        <v>16.140999999999998</v>
      </c>
      <c r="H65" s="26">
        <f t="shared" si="18"/>
        <v>3.0529999999999999</v>
      </c>
      <c r="I65" s="26">
        <f t="shared" si="18"/>
        <v>609.27</v>
      </c>
      <c r="J65" s="43">
        <f t="shared" si="18"/>
        <v>2E-3</v>
      </c>
      <c r="K65" s="43">
        <f t="shared" si="18"/>
        <v>4.0000000000000001E-3</v>
      </c>
      <c r="L65" s="82" t="str">
        <f t="shared" si="18"/>
        <v>p&lt;0.01</v>
      </c>
    </row>
    <row r="66" spans="1:57" ht="33.6" customHeight="1" thickTop="1" thickBot="1" x14ac:dyDescent="0.3">
      <c r="A66" s="35" t="s">
        <v>30</v>
      </c>
      <c r="B66" s="35" t="s">
        <v>52</v>
      </c>
      <c r="C66" s="35" t="s">
        <v>53</v>
      </c>
      <c r="D66" s="35" t="s">
        <v>31</v>
      </c>
      <c r="E66" s="35" t="str">
        <f t="shared" si="18"/>
        <v xml:space="preserve">SE </v>
      </c>
      <c r="F66" s="35" t="str">
        <f t="shared" si="18"/>
        <v>2.5% CI</v>
      </c>
      <c r="G66" s="35" t="str">
        <f t="shared" si="18"/>
        <v>97.5% CI</v>
      </c>
      <c r="H66" s="35" t="str">
        <f t="shared" si="18"/>
        <v>t</v>
      </c>
      <c r="I66" s="35" t="str">
        <f t="shared" si="18"/>
        <v>df</v>
      </c>
      <c r="J66" s="35" t="str">
        <f t="shared" si="18"/>
        <v>p. val.</v>
      </c>
      <c r="K66" s="35" t="str">
        <f t="shared" si="18"/>
        <v>p.adj (BH)</v>
      </c>
      <c r="L66" s="36" t="str">
        <f t="shared" si="18"/>
        <v>sig.</v>
      </c>
    </row>
    <row r="67" spans="1:57" ht="33.6" customHeight="1" thickTop="1" x14ac:dyDescent="0.25">
      <c r="A67" s="13" t="s">
        <v>26</v>
      </c>
      <c r="B67" s="12" t="e">
        <f>B14</f>
        <v>#REF!</v>
      </c>
      <c r="C67" s="12" t="e">
        <f>C14</f>
        <v>#REF!</v>
      </c>
      <c r="D67" s="12">
        <f>AN14</f>
        <v>17.870999999999999</v>
      </c>
      <c r="E67" s="12">
        <f t="shared" si="18"/>
        <v>8.48309953830924</v>
      </c>
      <c r="F67" s="12">
        <f t="shared" si="18"/>
        <v>27.259264812096799</v>
      </c>
      <c r="G67" s="12">
        <f t="shared" si="18"/>
        <v>4.78</v>
      </c>
      <c r="H67" s="12">
        <f t="shared" si="18"/>
        <v>3.738</v>
      </c>
      <c r="I67" s="12">
        <f t="shared" si="18"/>
        <v>606.32000000000005</v>
      </c>
      <c r="J67" s="33">
        <f t="shared" si="18"/>
        <v>2.0000000000000001E-4</v>
      </c>
      <c r="K67" s="33">
        <f t="shared" si="18"/>
        <v>4.8000000000000001E-4</v>
      </c>
      <c r="L67" s="78" t="str">
        <f t="shared" si="18"/>
        <v>p&lt;0.001</v>
      </c>
    </row>
    <row r="68" spans="1:57" ht="13.2" customHeight="1" x14ac:dyDescent="0.25">
      <c r="A68" s="13"/>
      <c r="B68" s="12"/>
      <c r="C68" s="12"/>
      <c r="D68" s="12"/>
      <c r="E68" s="12"/>
      <c r="F68" s="12"/>
      <c r="G68" s="12"/>
      <c r="H68" s="12"/>
      <c r="I68" s="12"/>
      <c r="J68" s="33"/>
      <c r="K68" s="33"/>
      <c r="L68" s="78"/>
    </row>
    <row r="69" spans="1:57" s="87" customFormat="1" ht="13.2" customHeight="1" x14ac:dyDescent="0.25">
      <c r="A69" s="86" t="s">
        <v>49</v>
      </c>
      <c r="B69" s="86"/>
      <c r="C69" s="86"/>
      <c r="D69" s="83"/>
      <c r="E69" s="83"/>
      <c r="F69" s="83"/>
      <c r="G69" s="83"/>
      <c r="H69" s="83"/>
      <c r="I69" s="83"/>
      <c r="J69" s="83"/>
      <c r="K69" s="84"/>
      <c r="L69" s="84"/>
      <c r="S69" s="88"/>
      <c r="T69" s="88"/>
      <c r="U69" s="88"/>
      <c r="AB69" s="88"/>
      <c r="AC69" s="88"/>
      <c r="AD69" s="88"/>
      <c r="AK69" s="88"/>
      <c r="AL69" s="88"/>
      <c r="AM69" s="88"/>
      <c r="AT69" s="88"/>
      <c r="AU69" s="88"/>
      <c r="AV69" s="88"/>
      <c r="BC69" s="88"/>
      <c r="BD69" s="88"/>
      <c r="BE69" s="88"/>
    </row>
    <row r="70" spans="1:57" ht="33.6" customHeight="1" thickBot="1" x14ac:dyDescent="0.3">
      <c r="A70" s="45" t="s">
        <v>37</v>
      </c>
      <c r="B70" s="349" t="str">
        <f>AW4</f>
        <v>L*^[H] vs. ^[L*H]</v>
      </c>
      <c r="C70" s="349"/>
      <c r="D70" s="349"/>
      <c r="E70" s="349"/>
      <c r="F70" s="349"/>
      <c r="G70" s="349"/>
      <c r="H70" s="349"/>
      <c r="I70" s="349"/>
      <c r="J70" s="349"/>
      <c r="K70" s="349"/>
      <c r="L70" s="349"/>
    </row>
    <row r="71" spans="1:57" ht="33.6" customHeight="1" thickTop="1" thickBot="1" x14ac:dyDescent="0.3">
      <c r="A71" s="35" t="s">
        <v>28</v>
      </c>
      <c r="B71" s="35" t="s">
        <v>52</v>
      </c>
      <c r="C71" s="35" t="s">
        <v>53</v>
      </c>
      <c r="D71" s="35" t="s">
        <v>31</v>
      </c>
      <c r="E71" s="35" t="str">
        <f t="shared" ref="E71:L75" si="19">AX5</f>
        <v xml:space="preserve">SE </v>
      </c>
      <c r="F71" s="35" t="str">
        <f t="shared" si="19"/>
        <v>2.5% CI</v>
      </c>
      <c r="G71" s="35" t="str">
        <f t="shared" si="19"/>
        <v>97.5% CI</v>
      </c>
      <c r="H71" s="35" t="str">
        <f t="shared" si="19"/>
        <v>t</v>
      </c>
      <c r="I71" s="35" t="str">
        <f t="shared" si="19"/>
        <v>df</v>
      </c>
      <c r="J71" s="35" t="str">
        <f t="shared" si="19"/>
        <v>p. val.</v>
      </c>
      <c r="K71" s="35" t="str">
        <f t="shared" si="19"/>
        <v>p.adj (BH)</v>
      </c>
      <c r="L71" s="35" t="str">
        <f t="shared" si="19"/>
        <v>sig.</v>
      </c>
    </row>
    <row r="72" spans="1:57" ht="33.6" customHeight="1" thickTop="1" thickBot="1" x14ac:dyDescent="0.3">
      <c r="A72" s="20" t="s">
        <v>23</v>
      </c>
      <c r="B72" s="21" t="e">
        <f t="shared" ref="B72:C75" si="20">B6</f>
        <v>#REF!</v>
      </c>
      <c r="C72" s="21" t="e">
        <f t="shared" si="20"/>
        <v>#REF!</v>
      </c>
      <c r="D72" s="21">
        <f>AW6</f>
        <v>2.0169999999999999</v>
      </c>
      <c r="E72" s="21">
        <f t="shared" si="19"/>
        <v>1.43143752895072</v>
      </c>
      <c r="F72" s="21">
        <f t="shared" si="19"/>
        <v>2.6023831583079602</v>
      </c>
      <c r="G72" s="21">
        <f t="shared" si="19"/>
        <v>0.29799999999999999</v>
      </c>
      <c r="H72" s="21">
        <f t="shared" si="19"/>
        <v>6.766</v>
      </c>
      <c r="I72" s="21">
        <f t="shared" si="19"/>
        <v>599.44000000000005</v>
      </c>
      <c r="J72" s="43">
        <f t="shared" si="19"/>
        <v>3.1999999999999999E-11</v>
      </c>
      <c r="K72" s="43">
        <f t="shared" si="19"/>
        <v>1.4000000000000001E-10</v>
      </c>
      <c r="L72" s="82" t="str">
        <f t="shared" si="19"/>
        <v>p&lt;0.0001</v>
      </c>
    </row>
    <row r="73" spans="1:57" ht="33.6" customHeight="1" thickBot="1" x14ac:dyDescent="0.3">
      <c r="A73" s="23" t="s">
        <v>24</v>
      </c>
      <c r="B73" s="19" t="e">
        <f t="shared" si="20"/>
        <v>#REF!</v>
      </c>
      <c r="C73" s="19" t="e">
        <f t="shared" si="20"/>
        <v>#REF!</v>
      </c>
      <c r="D73" s="19">
        <f>AW7</f>
        <v>-8.9999999999999993E-3</v>
      </c>
      <c r="E73" s="19">
        <f t="shared" si="19"/>
        <v>-0.85602072995003098</v>
      </c>
      <c r="F73" s="19">
        <f t="shared" si="19"/>
        <v>0.83890562248414102</v>
      </c>
      <c r="G73" s="19">
        <f t="shared" si="19"/>
        <v>0.432</v>
      </c>
      <c r="H73" s="19">
        <f t="shared" si="19"/>
        <v>-0.02</v>
      </c>
      <c r="I73" s="19">
        <f t="shared" si="19"/>
        <v>610.48</v>
      </c>
      <c r="J73" s="43">
        <f t="shared" si="19"/>
        <v>0.98399999999999999</v>
      </c>
      <c r="K73" s="43">
        <f t="shared" si="19"/>
        <v>0.98399999999999999</v>
      </c>
      <c r="L73" s="82">
        <f t="shared" si="19"/>
        <v>0</v>
      </c>
    </row>
    <row r="74" spans="1:57" ht="33.6" customHeight="1" thickBot="1" x14ac:dyDescent="0.3">
      <c r="A74" s="25" t="s">
        <v>5</v>
      </c>
      <c r="B74" s="26" t="e">
        <f t="shared" si="20"/>
        <v>#REF!</v>
      </c>
      <c r="C74" s="26" t="e">
        <f t="shared" si="20"/>
        <v>#REF!</v>
      </c>
      <c r="D74" s="26">
        <f>AW8</f>
        <v>-2.4460000000000002</v>
      </c>
      <c r="E74" s="26">
        <f t="shared" si="19"/>
        <v>-3.0745931630236298</v>
      </c>
      <c r="F74" s="26">
        <f t="shared" si="19"/>
        <v>-1.8179802760174999</v>
      </c>
      <c r="G74" s="26">
        <f t="shared" si="19"/>
        <v>0.32</v>
      </c>
      <c r="H74" s="26">
        <f t="shared" si="19"/>
        <v>-7.6459999999999999</v>
      </c>
      <c r="I74" s="26">
        <f t="shared" si="19"/>
        <v>611.05999999999995</v>
      </c>
      <c r="J74" s="43">
        <f t="shared" si="19"/>
        <v>8.0999999999999996E-14</v>
      </c>
      <c r="K74" s="43">
        <f t="shared" si="19"/>
        <v>4.7000000000000002E-13</v>
      </c>
      <c r="L74" s="82" t="str">
        <f t="shared" si="19"/>
        <v>p&lt;0.0001</v>
      </c>
    </row>
    <row r="75" spans="1:57" ht="33.6" customHeight="1" thickBot="1" x14ac:dyDescent="0.3">
      <c r="A75" s="30" t="s">
        <v>54</v>
      </c>
      <c r="B75" s="26" t="e">
        <f t="shared" si="20"/>
        <v>#REF!</v>
      </c>
      <c r="C75" s="26" t="e">
        <f t="shared" si="20"/>
        <v>#REF!</v>
      </c>
      <c r="D75" s="26">
        <f>AW9</f>
        <v>0.96599999999999997</v>
      </c>
      <c r="E75" s="26">
        <f t="shared" si="19"/>
        <v>0.30459327404834602</v>
      </c>
      <c r="F75" s="26">
        <f t="shared" si="19"/>
        <v>1.62776461647215</v>
      </c>
      <c r="G75" s="26">
        <f t="shared" si="19"/>
        <v>0.33700000000000002</v>
      </c>
      <c r="H75" s="26">
        <f t="shared" si="19"/>
        <v>2.8679999999999999</v>
      </c>
      <c r="I75" s="26">
        <f t="shared" si="19"/>
        <v>599.89</v>
      </c>
      <c r="J75" s="43">
        <f t="shared" si="19"/>
        <v>4.0000000000000001E-3</v>
      </c>
      <c r="K75" s="43">
        <f t="shared" si="19"/>
        <v>7.0000000000000001E-3</v>
      </c>
      <c r="L75" s="82" t="str">
        <f t="shared" si="19"/>
        <v>p&lt;0.01</v>
      </c>
    </row>
    <row r="76" spans="1:57" ht="33.6" customHeight="1" thickTop="1" thickBot="1" x14ac:dyDescent="0.3">
      <c r="A76" s="35" t="s">
        <v>6</v>
      </c>
      <c r="B76" s="35" t="s">
        <v>52</v>
      </c>
      <c r="C76" s="35" t="s">
        <v>53</v>
      </c>
      <c r="D76" s="35" t="s">
        <v>31</v>
      </c>
      <c r="E76" s="35" t="str">
        <f t="shared" ref="E76:L80" si="21">AX10</f>
        <v xml:space="preserve">SE </v>
      </c>
      <c r="F76" s="35" t="str">
        <f t="shared" si="21"/>
        <v>2.5% CI</v>
      </c>
      <c r="G76" s="35" t="str">
        <f t="shared" si="21"/>
        <v>97.5% CI</v>
      </c>
      <c r="H76" s="35" t="str">
        <f t="shared" si="21"/>
        <v>t</v>
      </c>
      <c r="I76" s="35" t="str">
        <f t="shared" si="21"/>
        <v>df</v>
      </c>
      <c r="J76" s="35" t="str">
        <f t="shared" si="21"/>
        <v>p. val.</v>
      </c>
      <c r="K76" s="35" t="str">
        <f t="shared" si="21"/>
        <v>p.adj (BH)</v>
      </c>
      <c r="L76" s="35" t="str">
        <f t="shared" si="21"/>
        <v>sig.</v>
      </c>
    </row>
    <row r="77" spans="1:57" ht="33.6" customHeight="1" thickTop="1" thickBot="1" x14ac:dyDescent="0.3">
      <c r="A77" s="28" t="s">
        <v>4</v>
      </c>
      <c r="B77" s="21" t="e">
        <f>B11</f>
        <v>#REF!</v>
      </c>
      <c r="C77" s="21" t="e">
        <f>C11</f>
        <v>#REF!</v>
      </c>
      <c r="D77" s="20">
        <f>AW11</f>
        <v>2.044</v>
      </c>
      <c r="E77" s="21">
        <f t="shared" si="21"/>
        <v>-6.4797959443461899</v>
      </c>
      <c r="F77" s="21">
        <f t="shared" si="21"/>
        <v>10.5679236230505</v>
      </c>
      <c r="G77" s="21">
        <f t="shared" si="21"/>
        <v>4.34</v>
      </c>
      <c r="H77" s="21">
        <f t="shared" si="21"/>
        <v>0.47099999999999997</v>
      </c>
      <c r="I77" s="21">
        <f t="shared" si="21"/>
        <v>609.01</v>
      </c>
      <c r="J77" s="43">
        <f t="shared" si="21"/>
        <v>0.63800000000000001</v>
      </c>
      <c r="K77" s="43">
        <f t="shared" si="21"/>
        <v>0.71699999999999997</v>
      </c>
      <c r="L77" s="82">
        <f t="shared" si="21"/>
        <v>0</v>
      </c>
    </row>
    <row r="78" spans="1:57" ht="33.6" customHeight="1" thickBot="1" x14ac:dyDescent="0.3">
      <c r="A78" s="30" t="s">
        <v>3</v>
      </c>
      <c r="B78" s="26" t="e">
        <f>B12</f>
        <v>#REF!</v>
      </c>
      <c r="C78" s="26" t="e">
        <f>C12</f>
        <v>#REF!</v>
      </c>
      <c r="D78" s="25">
        <f>AW12</f>
        <v>0.255</v>
      </c>
      <c r="E78" s="26">
        <f t="shared" si="21"/>
        <v>-12.4304474503218</v>
      </c>
      <c r="F78" s="26">
        <f t="shared" si="21"/>
        <v>12.940454542958699</v>
      </c>
      <c r="G78" s="26">
        <f t="shared" si="21"/>
        <v>6.4589999999999996</v>
      </c>
      <c r="H78" s="26">
        <f t="shared" si="21"/>
        <v>3.9E-2</v>
      </c>
      <c r="I78" s="26">
        <f t="shared" si="21"/>
        <v>609.22</v>
      </c>
      <c r="J78" s="43">
        <f t="shared" si="21"/>
        <v>0.96899999999999997</v>
      </c>
      <c r="K78" s="43">
        <f t="shared" si="21"/>
        <v>0.98399999999999999</v>
      </c>
      <c r="L78" s="82">
        <f t="shared" si="21"/>
        <v>0</v>
      </c>
    </row>
    <row r="79" spans="1:57" ht="33.6" customHeight="1" thickTop="1" thickBot="1" x14ac:dyDescent="0.3">
      <c r="A79" s="35" t="s">
        <v>30</v>
      </c>
      <c r="B79" s="35" t="s">
        <v>52</v>
      </c>
      <c r="C79" s="35" t="s">
        <v>53</v>
      </c>
      <c r="D79" s="35" t="s">
        <v>31</v>
      </c>
      <c r="E79" s="35" t="str">
        <f t="shared" si="21"/>
        <v xml:space="preserve">SE </v>
      </c>
      <c r="F79" s="35" t="str">
        <f t="shared" si="21"/>
        <v>2.5% CI</v>
      </c>
      <c r="G79" s="35" t="str">
        <f t="shared" si="21"/>
        <v>97.5% CI</v>
      </c>
      <c r="H79" s="35" t="str">
        <f t="shared" si="21"/>
        <v>t</v>
      </c>
      <c r="I79" s="35" t="str">
        <f t="shared" si="21"/>
        <v>df</v>
      </c>
      <c r="J79" s="35" t="str">
        <f t="shared" si="21"/>
        <v>p. val.</v>
      </c>
      <c r="K79" s="35" t="str">
        <f t="shared" si="21"/>
        <v>p.adj (BH)</v>
      </c>
      <c r="L79" s="35" t="str">
        <f t="shared" si="21"/>
        <v>sig.</v>
      </c>
    </row>
    <row r="80" spans="1:57" ht="33.6" customHeight="1" thickTop="1" x14ac:dyDescent="0.25">
      <c r="A80" s="13" t="s">
        <v>26</v>
      </c>
      <c r="B80" s="12" t="e">
        <f>B14</f>
        <v>#REF!</v>
      </c>
      <c r="C80" s="12" t="e">
        <f>C14</f>
        <v>#REF!</v>
      </c>
      <c r="D80" s="12">
        <f>AW14</f>
        <v>-13.137</v>
      </c>
      <c r="E80" s="12">
        <f t="shared" si="21"/>
        <v>-16.898377372688699</v>
      </c>
      <c r="F80" s="12">
        <f t="shared" si="21"/>
        <v>-9.3754801866966293</v>
      </c>
      <c r="G80" s="12">
        <f t="shared" si="21"/>
        <v>1.915</v>
      </c>
      <c r="H80" s="12">
        <f t="shared" si="21"/>
        <v>-6.859</v>
      </c>
      <c r="I80" s="12">
        <f t="shared" si="21"/>
        <v>607.63</v>
      </c>
      <c r="J80" s="33">
        <f t="shared" si="21"/>
        <v>1.6999999999999999E-11</v>
      </c>
      <c r="K80" s="33">
        <f t="shared" si="21"/>
        <v>7.7000000000000006E-11</v>
      </c>
      <c r="L80" s="78" t="str">
        <f t="shared" si="21"/>
        <v>p&lt;0.0001</v>
      </c>
    </row>
    <row r="112" ht="13.2" customHeight="1" x14ac:dyDescent="0.25"/>
  </sheetData>
  <mergeCells count="13">
    <mergeCell ref="B30:L30"/>
    <mergeCell ref="B44:L44"/>
    <mergeCell ref="B57:L57"/>
    <mergeCell ref="B70:L70"/>
    <mergeCell ref="M4:U4"/>
    <mergeCell ref="A41:L41"/>
    <mergeCell ref="B17:L17"/>
    <mergeCell ref="V4:AD4"/>
    <mergeCell ref="AE4:AM4"/>
    <mergeCell ref="AN4:AV4"/>
    <mergeCell ref="AW4:BE4"/>
    <mergeCell ref="A1:L1"/>
    <mergeCell ref="B4:L4"/>
  </mergeCells>
  <conditionalFormatting sqref="J14:K15 BC14:BD15 AT14:AU15 AK14:AL15 AB14:AC15 S14:T15 S6:T8 AB6:AC8 AK6:AL8 AT6:AU8 BC6:BD8 J6:K8 J10:K12 BC10:BD12 AT10:AU12 AK10:AL12 AB10:AC12 S10:T12">
    <cfRule type="cellIs" dxfId="184" priority="132" stopIfTrue="1" operator="lessThan">
      <formula>0.0001</formula>
    </cfRule>
    <cfRule type="cellIs" dxfId="183" priority="133" stopIfTrue="1" operator="lessThan">
      <formula>0.001</formula>
    </cfRule>
    <cfRule type="cellIs" dxfId="182" priority="134" stopIfTrue="1" operator="lessThan">
      <formula>0.05</formula>
    </cfRule>
    <cfRule type="cellIs" dxfId="181" priority="135" stopIfTrue="1" operator="lessThan">
      <formula>0.1</formula>
    </cfRule>
  </conditionalFormatting>
  <conditionalFormatting sqref="BE14:BE15 AV14:AV15 AM14:AM15 AD14:AD15 U14:U15 L14:L15 L6:L8 U6:U8 AD6:AD8 AM6:AM8 AV6:AV8 BE6:BE8 BE10:BE12 AV10:AV12 AM10:AM12 AD10:AD12 U10:U12 L10:L12">
    <cfRule type="containsText" dxfId="180" priority="127" stopIfTrue="1" operator="containsText" text="p&lt;0.0001">
      <formula>NOT(ISERROR(SEARCH("p&lt;0.0001",L6)))</formula>
    </cfRule>
    <cfRule type="containsText" dxfId="179" priority="128" stopIfTrue="1" operator="containsText" text="p&lt;0.001">
      <formula>NOT(ISERROR(SEARCH("p&lt;0.001",L6)))</formula>
    </cfRule>
    <cfRule type="containsText" dxfId="178" priority="129" stopIfTrue="1" operator="containsText" text="p&lt;0.01">
      <formula>NOT(ISERROR(SEARCH("p&lt;0.01",L6)))</formula>
    </cfRule>
    <cfRule type="containsText" dxfId="177" priority="130" stopIfTrue="1" operator="containsText" text="p&lt;0.05">
      <formula>NOT(ISERROR(SEARCH("p&lt;0.05",L6)))</formula>
    </cfRule>
    <cfRule type="containsText" dxfId="176" priority="131" stopIfTrue="1" operator="containsText" text="p&lt;0.1">
      <formula>NOT(ISERROR(SEARCH("p&lt;0.1",L6)))</formula>
    </cfRule>
  </conditionalFormatting>
  <conditionalFormatting sqref="J27:K28 J19:K21 J23:K25">
    <cfRule type="cellIs" dxfId="175" priority="123" stopIfTrue="1" operator="lessThan">
      <formula>0.0001</formula>
    </cfRule>
    <cfRule type="cellIs" dxfId="174" priority="124" stopIfTrue="1" operator="lessThan">
      <formula>0.001</formula>
    </cfRule>
    <cfRule type="cellIs" dxfId="173" priority="125" stopIfTrue="1" operator="lessThan">
      <formula>0.05</formula>
    </cfRule>
    <cfRule type="cellIs" dxfId="172" priority="126" stopIfTrue="1" operator="lessThan">
      <formula>0.1</formula>
    </cfRule>
  </conditionalFormatting>
  <conditionalFormatting sqref="L27:L28 L19:L21 L23:L25">
    <cfRule type="containsText" dxfId="171" priority="118" stopIfTrue="1" operator="containsText" text="p&lt;0.0001">
      <formula>NOT(ISERROR(SEARCH("p&lt;0.0001",L19)))</formula>
    </cfRule>
    <cfRule type="containsText" dxfId="170" priority="119" stopIfTrue="1" operator="containsText" text="p&lt;0.001">
      <formula>NOT(ISERROR(SEARCH("p&lt;0.001",L19)))</formula>
    </cfRule>
    <cfRule type="containsText" dxfId="169" priority="120" stopIfTrue="1" operator="containsText" text="p&lt;0.01">
      <formula>NOT(ISERROR(SEARCH("p&lt;0.01",L19)))</formula>
    </cfRule>
    <cfRule type="containsText" dxfId="168" priority="121" stopIfTrue="1" operator="containsText" text="p&lt;0.05">
      <formula>NOT(ISERROR(SEARCH("p&lt;0.05",L19)))</formula>
    </cfRule>
    <cfRule type="containsText" dxfId="167" priority="122" stopIfTrue="1" operator="containsText" text="p&lt;0.1">
      <formula>NOT(ISERROR(SEARCH("p&lt;0.1",L19)))</formula>
    </cfRule>
  </conditionalFormatting>
  <conditionalFormatting sqref="J40:K40 J32:K34 J36:K38">
    <cfRule type="cellIs" dxfId="166" priority="114" stopIfTrue="1" operator="lessThan">
      <formula>0.0001</formula>
    </cfRule>
    <cfRule type="cellIs" dxfId="165" priority="115" stopIfTrue="1" operator="lessThan">
      <formula>0.001</formula>
    </cfRule>
    <cfRule type="cellIs" dxfId="164" priority="116" stopIfTrue="1" operator="lessThan">
      <formula>0.05</formula>
    </cfRule>
    <cfRule type="cellIs" dxfId="163" priority="117" stopIfTrue="1" operator="lessThan">
      <formula>0.1</formula>
    </cfRule>
  </conditionalFormatting>
  <conditionalFormatting sqref="L40 L32:L34 L36:L38">
    <cfRule type="containsText" dxfId="162" priority="109" stopIfTrue="1" operator="containsText" text="p&lt;0.0001">
      <formula>NOT(ISERROR(SEARCH("p&lt;0.0001",L32)))</formula>
    </cfRule>
    <cfRule type="containsText" dxfId="161" priority="110" stopIfTrue="1" operator="containsText" text="p&lt;0.001">
      <formula>NOT(ISERROR(SEARCH("p&lt;0.001",L32)))</formula>
    </cfRule>
    <cfRule type="containsText" dxfId="160" priority="111" stopIfTrue="1" operator="containsText" text="p&lt;0.01">
      <formula>NOT(ISERROR(SEARCH("p&lt;0.01",L32)))</formula>
    </cfRule>
    <cfRule type="containsText" dxfId="159" priority="112" stopIfTrue="1" operator="containsText" text="p&lt;0.05">
      <formula>NOT(ISERROR(SEARCH("p&lt;0.05",L32)))</formula>
    </cfRule>
    <cfRule type="containsText" dxfId="158" priority="113" stopIfTrue="1" operator="containsText" text="p&lt;0.1">
      <formula>NOT(ISERROR(SEARCH("p&lt;0.1",L32)))</formula>
    </cfRule>
  </conditionalFormatting>
  <conditionalFormatting sqref="J54:K55 J46:K48 J50:K52">
    <cfRule type="cellIs" dxfId="157" priority="105" stopIfTrue="1" operator="lessThan">
      <formula>0.0001</formula>
    </cfRule>
    <cfRule type="cellIs" dxfId="156" priority="106" stopIfTrue="1" operator="lessThan">
      <formula>0.001</formula>
    </cfRule>
    <cfRule type="cellIs" dxfId="155" priority="107" stopIfTrue="1" operator="lessThan">
      <formula>0.05</formula>
    </cfRule>
    <cfRule type="cellIs" dxfId="154" priority="108" stopIfTrue="1" operator="lessThan">
      <formula>0.1</formula>
    </cfRule>
  </conditionalFormatting>
  <conditionalFormatting sqref="L54:L55 L46:L48 L50:L52">
    <cfRule type="containsText" dxfId="153" priority="100" stopIfTrue="1" operator="containsText" text="p&lt;0.0001">
      <formula>NOT(ISERROR(SEARCH("p&lt;0.0001",L46)))</formula>
    </cfRule>
    <cfRule type="containsText" dxfId="152" priority="101" stopIfTrue="1" operator="containsText" text="p&lt;0.001">
      <formula>NOT(ISERROR(SEARCH("p&lt;0.001",L46)))</formula>
    </cfRule>
    <cfRule type="containsText" dxfId="151" priority="102" stopIfTrue="1" operator="containsText" text="p&lt;0.01">
      <formula>NOT(ISERROR(SEARCH("p&lt;0.01",L46)))</formula>
    </cfRule>
    <cfRule type="containsText" dxfId="150" priority="103" stopIfTrue="1" operator="containsText" text="p&lt;0.05">
      <formula>NOT(ISERROR(SEARCH("p&lt;0.05",L46)))</formula>
    </cfRule>
    <cfRule type="containsText" dxfId="149" priority="104" stopIfTrue="1" operator="containsText" text="p&lt;0.1">
      <formula>NOT(ISERROR(SEARCH("p&lt;0.1",L46)))</formula>
    </cfRule>
  </conditionalFormatting>
  <conditionalFormatting sqref="J67:K68 J59:K61 J63:K65">
    <cfRule type="cellIs" dxfId="148" priority="96" stopIfTrue="1" operator="lessThan">
      <formula>0.0001</formula>
    </cfRule>
    <cfRule type="cellIs" dxfId="147" priority="97" stopIfTrue="1" operator="lessThan">
      <formula>0.001</formula>
    </cfRule>
    <cfRule type="cellIs" dxfId="146" priority="98" stopIfTrue="1" operator="lessThan">
      <formula>0.05</formula>
    </cfRule>
    <cfRule type="cellIs" dxfId="145" priority="99" stopIfTrue="1" operator="lessThan">
      <formula>0.1</formula>
    </cfRule>
  </conditionalFormatting>
  <conditionalFormatting sqref="L67:L68 L59:L61 L63:L65">
    <cfRule type="containsText" dxfId="144" priority="91" stopIfTrue="1" operator="containsText" text="p&lt;0.0001">
      <formula>NOT(ISERROR(SEARCH("p&lt;0.0001",L59)))</formula>
    </cfRule>
    <cfRule type="containsText" dxfId="143" priority="92" stopIfTrue="1" operator="containsText" text="p&lt;0.001">
      <formula>NOT(ISERROR(SEARCH("p&lt;0.001",L59)))</formula>
    </cfRule>
    <cfRule type="containsText" dxfId="142" priority="93" stopIfTrue="1" operator="containsText" text="p&lt;0.01">
      <formula>NOT(ISERROR(SEARCH("p&lt;0.01",L59)))</formula>
    </cfRule>
    <cfRule type="containsText" dxfId="141" priority="94" stopIfTrue="1" operator="containsText" text="p&lt;0.05">
      <formula>NOT(ISERROR(SEARCH("p&lt;0.05",L59)))</formula>
    </cfRule>
    <cfRule type="containsText" dxfId="140" priority="95" stopIfTrue="1" operator="containsText" text="p&lt;0.1">
      <formula>NOT(ISERROR(SEARCH("p&lt;0.1",L59)))</formula>
    </cfRule>
  </conditionalFormatting>
  <conditionalFormatting sqref="J80:K80 J72:K74 J76:K78">
    <cfRule type="cellIs" dxfId="139" priority="87" stopIfTrue="1" operator="lessThan">
      <formula>0.0001</formula>
    </cfRule>
    <cfRule type="cellIs" dxfId="138" priority="88" stopIfTrue="1" operator="lessThan">
      <formula>0.001</formula>
    </cfRule>
    <cfRule type="cellIs" dxfId="137" priority="89" stopIfTrue="1" operator="lessThan">
      <formula>0.05</formula>
    </cfRule>
    <cfRule type="cellIs" dxfId="136" priority="90" stopIfTrue="1" operator="lessThan">
      <formula>0.1</formula>
    </cfRule>
  </conditionalFormatting>
  <conditionalFormatting sqref="L80 L72:L74 L76:L78">
    <cfRule type="containsText" dxfId="135" priority="82" stopIfTrue="1" operator="containsText" text="p&lt;0.0001">
      <formula>NOT(ISERROR(SEARCH("p&lt;0.0001",L72)))</formula>
    </cfRule>
    <cfRule type="containsText" dxfId="134" priority="83" stopIfTrue="1" operator="containsText" text="p&lt;0.001">
      <formula>NOT(ISERROR(SEARCH("p&lt;0.001",L72)))</formula>
    </cfRule>
    <cfRule type="containsText" dxfId="133" priority="84" stopIfTrue="1" operator="containsText" text="p&lt;0.01">
      <formula>NOT(ISERROR(SEARCH("p&lt;0.01",L72)))</formula>
    </cfRule>
    <cfRule type="containsText" dxfId="132" priority="85" stopIfTrue="1" operator="containsText" text="p&lt;0.05">
      <formula>NOT(ISERROR(SEARCH("p&lt;0.05",L72)))</formula>
    </cfRule>
    <cfRule type="containsText" dxfId="131" priority="86" stopIfTrue="1" operator="containsText" text="p&lt;0.1">
      <formula>NOT(ISERROR(SEARCH("p&lt;0.1",L72)))</formula>
    </cfRule>
  </conditionalFormatting>
  <conditionalFormatting sqref="J9:K9 BC9:BD9 AT9:AU9 AK9:AL9 AB9:AC9 S9:T9">
    <cfRule type="cellIs" dxfId="130" priority="51" stopIfTrue="1" operator="lessThan">
      <formula>0.0001</formula>
    </cfRule>
    <cfRule type="cellIs" dxfId="129" priority="52" stopIfTrue="1" operator="lessThan">
      <formula>0.001</formula>
    </cfRule>
    <cfRule type="cellIs" dxfId="128" priority="53" stopIfTrue="1" operator="lessThan">
      <formula>0.05</formula>
    </cfRule>
    <cfRule type="cellIs" dxfId="127" priority="54" stopIfTrue="1" operator="lessThan">
      <formula>0.1</formula>
    </cfRule>
  </conditionalFormatting>
  <conditionalFormatting sqref="BE9 AV9 AM9 AD9 U9 L9">
    <cfRule type="containsText" dxfId="126" priority="46" stopIfTrue="1" operator="containsText" text="p&lt;0.0001">
      <formula>NOT(ISERROR(SEARCH("p&lt;0.0001",L9)))</formula>
    </cfRule>
    <cfRule type="containsText" dxfId="125" priority="47" stopIfTrue="1" operator="containsText" text="p&lt;0.001">
      <formula>NOT(ISERROR(SEARCH("p&lt;0.001",L9)))</formula>
    </cfRule>
    <cfRule type="containsText" dxfId="124" priority="48" stopIfTrue="1" operator="containsText" text="p&lt;0.01">
      <formula>NOT(ISERROR(SEARCH("p&lt;0.01",L9)))</formula>
    </cfRule>
    <cfRule type="containsText" dxfId="123" priority="49" stopIfTrue="1" operator="containsText" text="p&lt;0.05">
      <formula>NOT(ISERROR(SEARCH("p&lt;0.05",L9)))</formula>
    </cfRule>
    <cfRule type="containsText" dxfId="122" priority="50" stopIfTrue="1" operator="containsText" text="p&lt;0.1">
      <formula>NOT(ISERROR(SEARCH("p&lt;0.1",L9)))</formula>
    </cfRule>
  </conditionalFormatting>
  <conditionalFormatting sqref="J22:K22">
    <cfRule type="cellIs" dxfId="121" priority="42" stopIfTrue="1" operator="lessThan">
      <formula>0.0001</formula>
    </cfRule>
    <cfRule type="cellIs" dxfId="120" priority="43" stopIfTrue="1" operator="lessThan">
      <formula>0.001</formula>
    </cfRule>
    <cfRule type="cellIs" dxfId="119" priority="44" stopIfTrue="1" operator="lessThan">
      <formula>0.05</formula>
    </cfRule>
    <cfRule type="cellIs" dxfId="118" priority="45" stopIfTrue="1" operator="lessThan">
      <formula>0.1</formula>
    </cfRule>
  </conditionalFormatting>
  <conditionalFormatting sqref="L22">
    <cfRule type="containsText" dxfId="117" priority="37" stopIfTrue="1" operator="containsText" text="p&lt;0.0001">
      <formula>NOT(ISERROR(SEARCH("p&lt;0.0001",L22)))</formula>
    </cfRule>
    <cfRule type="containsText" dxfId="116" priority="38" stopIfTrue="1" operator="containsText" text="p&lt;0.001">
      <formula>NOT(ISERROR(SEARCH("p&lt;0.001",L22)))</formula>
    </cfRule>
    <cfRule type="containsText" dxfId="115" priority="39" stopIfTrue="1" operator="containsText" text="p&lt;0.01">
      <formula>NOT(ISERROR(SEARCH("p&lt;0.01",L22)))</formula>
    </cfRule>
    <cfRule type="containsText" dxfId="114" priority="40" stopIfTrue="1" operator="containsText" text="p&lt;0.05">
      <formula>NOT(ISERROR(SEARCH("p&lt;0.05",L22)))</formula>
    </cfRule>
    <cfRule type="containsText" dxfId="113" priority="41" stopIfTrue="1" operator="containsText" text="p&lt;0.1">
      <formula>NOT(ISERROR(SEARCH("p&lt;0.1",L22)))</formula>
    </cfRule>
  </conditionalFormatting>
  <conditionalFormatting sqref="J35:K35">
    <cfRule type="cellIs" dxfId="112" priority="33" stopIfTrue="1" operator="lessThan">
      <formula>0.0001</formula>
    </cfRule>
    <cfRule type="cellIs" dxfId="111" priority="34" stopIfTrue="1" operator="lessThan">
      <formula>0.001</formula>
    </cfRule>
    <cfRule type="cellIs" dxfId="110" priority="35" stopIfTrue="1" operator="lessThan">
      <formula>0.05</formula>
    </cfRule>
    <cfRule type="cellIs" dxfId="109" priority="36" stopIfTrue="1" operator="lessThan">
      <formula>0.1</formula>
    </cfRule>
  </conditionalFormatting>
  <conditionalFormatting sqref="L35">
    <cfRule type="containsText" dxfId="108" priority="28" stopIfTrue="1" operator="containsText" text="p&lt;0.0001">
      <formula>NOT(ISERROR(SEARCH("p&lt;0.0001",L35)))</formula>
    </cfRule>
    <cfRule type="containsText" dxfId="107" priority="29" stopIfTrue="1" operator="containsText" text="p&lt;0.001">
      <formula>NOT(ISERROR(SEARCH("p&lt;0.001",L35)))</formula>
    </cfRule>
    <cfRule type="containsText" dxfId="106" priority="30" stopIfTrue="1" operator="containsText" text="p&lt;0.01">
      <formula>NOT(ISERROR(SEARCH("p&lt;0.01",L35)))</formula>
    </cfRule>
    <cfRule type="containsText" dxfId="105" priority="31" stopIfTrue="1" operator="containsText" text="p&lt;0.05">
      <formula>NOT(ISERROR(SEARCH("p&lt;0.05",L35)))</formula>
    </cfRule>
    <cfRule type="containsText" dxfId="104" priority="32" stopIfTrue="1" operator="containsText" text="p&lt;0.1">
      <formula>NOT(ISERROR(SEARCH("p&lt;0.1",L35)))</formula>
    </cfRule>
  </conditionalFormatting>
  <conditionalFormatting sqref="J49:K49">
    <cfRule type="cellIs" dxfId="103" priority="24" stopIfTrue="1" operator="lessThan">
      <formula>0.0001</formula>
    </cfRule>
    <cfRule type="cellIs" dxfId="102" priority="25" stopIfTrue="1" operator="lessThan">
      <formula>0.001</formula>
    </cfRule>
    <cfRule type="cellIs" dxfId="101" priority="26" stopIfTrue="1" operator="lessThan">
      <formula>0.05</formula>
    </cfRule>
    <cfRule type="cellIs" dxfId="100" priority="27" stopIfTrue="1" operator="lessThan">
      <formula>0.1</formula>
    </cfRule>
  </conditionalFormatting>
  <conditionalFormatting sqref="L49">
    <cfRule type="containsText" dxfId="99" priority="19" stopIfTrue="1" operator="containsText" text="p&lt;0.0001">
      <formula>NOT(ISERROR(SEARCH("p&lt;0.0001",L49)))</formula>
    </cfRule>
    <cfRule type="containsText" dxfId="98" priority="20" stopIfTrue="1" operator="containsText" text="p&lt;0.001">
      <formula>NOT(ISERROR(SEARCH("p&lt;0.001",L49)))</formula>
    </cfRule>
    <cfRule type="containsText" dxfId="97" priority="21" stopIfTrue="1" operator="containsText" text="p&lt;0.01">
      <formula>NOT(ISERROR(SEARCH("p&lt;0.01",L49)))</formula>
    </cfRule>
    <cfRule type="containsText" dxfId="96" priority="22" stopIfTrue="1" operator="containsText" text="p&lt;0.05">
      <formula>NOT(ISERROR(SEARCH("p&lt;0.05",L49)))</formula>
    </cfRule>
    <cfRule type="containsText" dxfId="95" priority="23" stopIfTrue="1" operator="containsText" text="p&lt;0.1">
      <formula>NOT(ISERROR(SEARCH("p&lt;0.1",L49)))</formula>
    </cfRule>
  </conditionalFormatting>
  <conditionalFormatting sqref="J62:K62">
    <cfRule type="cellIs" dxfId="94" priority="15" stopIfTrue="1" operator="lessThan">
      <formula>0.0001</formula>
    </cfRule>
    <cfRule type="cellIs" dxfId="93" priority="16" stopIfTrue="1" operator="lessThan">
      <formula>0.001</formula>
    </cfRule>
    <cfRule type="cellIs" dxfId="92" priority="17" stopIfTrue="1" operator="lessThan">
      <formula>0.05</formula>
    </cfRule>
    <cfRule type="cellIs" dxfId="91" priority="18" stopIfTrue="1" operator="lessThan">
      <formula>0.1</formula>
    </cfRule>
  </conditionalFormatting>
  <conditionalFormatting sqref="L62">
    <cfRule type="containsText" dxfId="90" priority="10" stopIfTrue="1" operator="containsText" text="p&lt;0.0001">
      <formula>NOT(ISERROR(SEARCH("p&lt;0.0001",L62)))</formula>
    </cfRule>
    <cfRule type="containsText" dxfId="89" priority="11" stopIfTrue="1" operator="containsText" text="p&lt;0.001">
      <formula>NOT(ISERROR(SEARCH("p&lt;0.001",L62)))</formula>
    </cfRule>
    <cfRule type="containsText" dxfId="88" priority="12" stopIfTrue="1" operator="containsText" text="p&lt;0.01">
      <formula>NOT(ISERROR(SEARCH("p&lt;0.01",L62)))</formula>
    </cfRule>
    <cfRule type="containsText" dxfId="87" priority="13" stopIfTrue="1" operator="containsText" text="p&lt;0.05">
      <formula>NOT(ISERROR(SEARCH("p&lt;0.05",L62)))</formula>
    </cfRule>
    <cfRule type="containsText" dxfId="86" priority="14" stopIfTrue="1" operator="containsText" text="p&lt;0.1">
      <formula>NOT(ISERROR(SEARCH("p&lt;0.1",L62)))</formula>
    </cfRule>
  </conditionalFormatting>
  <conditionalFormatting sqref="J75:K75">
    <cfRule type="cellIs" dxfId="85" priority="6" stopIfTrue="1" operator="lessThan">
      <formula>0.0001</formula>
    </cfRule>
    <cfRule type="cellIs" dxfId="84" priority="7" stopIfTrue="1" operator="lessThan">
      <formula>0.001</formula>
    </cfRule>
    <cfRule type="cellIs" dxfId="83" priority="8" stopIfTrue="1" operator="lessThan">
      <formula>0.05</formula>
    </cfRule>
    <cfRule type="cellIs" dxfId="82" priority="9" stopIfTrue="1" operator="lessThan">
      <formula>0.1</formula>
    </cfRule>
  </conditionalFormatting>
  <conditionalFormatting sqref="L75">
    <cfRule type="containsText" dxfId="81" priority="1" stopIfTrue="1" operator="containsText" text="p&lt;0.0001">
      <formula>NOT(ISERROR(SEARCH("p&lt;0.0001",L75)))</formula>
    </cfRule>
    <cfRule type="containsText" dxfId="80" priority="2" stopIfTrue="1" operator="containsText" text="p&lt;0.001">
      <formula>NOT(ISERROR(SEARCH("p&lt;0.001",L75)))</formula>
    </cfRule>
    <cfRule type="containsText" dxfId="79" priority="3" stopIfTrue="1" operator="containsText" text="p&lt;0.01">
      <formula>NOT(ISERROR(SEARCH("p&lt;0.01",L75)))</formula>
    </cfRule>
    <cfRule type="containsText" dxfId="78" priority="4" stopIfTrue="1" operator="containsText" text="p&lt;0.05">
      <formula>NOT(ISERROR(SEARCH("p&lt;0.05",L75)))</formula>
    </cfRule>
    <cfRule type="containsText" dxfId="77" priority="5" stopIfTrue="1" operator="containsText" text="p&lt;0.1">
      <formula>NOT(ISERROR(SEARCH("p&lt;0.1",L75)))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rowBreaks count="1" manualBreakCount="1">
    <brk id="40" max="57" man="1"/>
  </rowBreaks>
  <colBreaks count="1" manualBreakCount="1">
    <brk id="12" max="7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7AF7-615A-46E9-BEE5-757044882DC8}">
  <dimension ref="E5:AB34"/>
  <sheetViews>
    <sheetView showGridLines="0" zoomScale="70" zoomScaleNormal="70" workbookViewId="0">
      <selection activeCell="K26" sqref="K26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8"/>
      <c r="Z10" s="8"/>
      <c r="AA10" s="8"/>
      <c r="AB10" s="8"/>
    </row>
    <row r="27" spans="5:6" x14ac:dyDescent="0.3">
      <c r="E27" t="s">
        <v>90</v>
      </c>
    </row>
    <row r="29" spans="5:6" x14ac:dyDescent="0.3">
      <c r="F29" t="s">
        <v>90</v>
      </c>
    </row>
    <row r="33" spans="6:7" x14ac:dyDescent="0.3">
      <c r="G33" t="s">
        <v>25</v>
      </c>
    </row>
    <row r="34" spans="6:7" x14ac:dyDescent="0.3">
      <c r="F34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="85" zoomScaleNormal="85" workbookViewId="0">
      <selection activeCell="U31" sqref="U31"/>
    </sheetView>
  </sheetViews>
  <sheetFormatPr defaultRowHeight="14.4" x14ac:dyDescent="0.3"/>
  <cols>
    <col min="1" max="1" width="1.33203125" customWidth="1"/>
    <col min="6" max="6" width="8.8867187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8"/>
      <c r="Z10" s="8"/>
      <c r="AA10" s="8"/>
      <c r="AB10" s="8"/>
    </row>
    <row r="33" spans="7:7" x14ac:dyDescent="0.3">
      <c r="G33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450A-9D5C-4D87-9768-FC80F4A30F91}">
  <dimension ref="C24:N57"/>
  <sheetViews>
    <sheetView tabSelected="1" topLeftCell="A34" zoomScaleNormal="100" workbookViewId="0">
      <selection activeCell="D42" sqref="D42"/>
    </sheetView>
  </sheetViews>
  <sheetFormatPr defaultRowHeight="14.4" x14ac:dyDescent="0.3"/>
  <sheetData>
    <row r="24" spans="14:14" x14ac:dyDescent="0.3">
      <c r="N24" s="336"/>
    </row>
    <row r="41" spans="3:12" x14ac:dyDescent="0.3">
      <c r="C41" s="354" t="s">
        <v>108</v>
      </c>
      <c r="D41" s="354" t="s">
        <v>109</v>
      </c>
      <c r="E41" s="354" t="s">
        <v>110</v>
      </c>
      <c r="F41" s="355" t="s">
        <v>107</v>
      </c>
      <c r="G41" s="356"/>
    </row>
    <row r="42" spans="3:12" ht="15" thickBot="1" x14ac:dyDescent="0.35">
      <c r="C42" s="357" t="s">
        <v>58</v>
      </c>
      <c r="D42" s="358">
        <f>_xlfn.STDEV.S('mode only B1'!B2,'mode only B1'!B7,'mode only B1'!B12,'mode only B1'!B17,'mode only B1'!B22,'mode only B1'!B27)</f>
        <v>0.89646832998531856</v>
      </c>
      <c r="E42" s="358">
        <f>_xlfn.STDEV.S('mode RTH B1'!B2,'mode RTH B1'!B10,'mode RTH B1'!B18,'mode RTH B1'!B26,'mode RTH B1'!B34,'mode RTH B1'!B42)</f>
        <v>0.57876235767944195</v>
      </c>
      <c r="F42" s="359">
        <f>D42-E42</f>
        <v>0.3177059723058766</v>
      </c>
      <c r="G42" s="356"/>
      <c r="K42" s="352" t="str">
        <f>'mode RTH B1'!A4</f>
        <v>Exc. size</v>
      </c>
      <c r="L42" s="351">
        <f>_xlfn.STDEV.S('mode RTH B1'!B4,'mode RTH B1'!B12,'mode RTH B1'!B20,'mode RTH B1'!B28,'mode RTH B1'!B36,'mode RTH B1'!B44)</f>
        <v>0.57293818747458847</v>
      </c>
    </row>
    <row r="43" spans="3:12" ht="15" thickBot="1" x14ac:dyDescent="0.35">
      <c r="C43" s="357" t="s">
        <v>59</v>
      </c>
      <c r="D43" s="358">
        <f>_xlfn.STDEV.S('mode only B1'!B3,'mode only B1'!B8,'mode only B1'!B13,'mode only B1'!B18,'mode only B1'!B23,'mode only B1'!B28)</f>
        <v>1.6197473156843532</v>
      </c>
      <c r="E43" s="358">
        <f>_xlfn.STDEV.S('mode RTH B1'!B3,'mode RTH B1'!B11,'mode RTH B1'!B19,'mode RTH B1'!B27,'mode RTH B1'!B35,'mode RTH B1'!B43)</f>
        <v>0.70785780116254027</v>
      </c>
      <c r="F43" s="359">
        <f>D43-E43</f>
        <v>0.91188951452181288</v>
      </c>
      <c r="G43" s="356"/>
      <c r="K43" s="352" t="str">
        <f>'mode RTH B1'!A5</f>
        <v>mean f0</v>
      </c>
      <c r="L43" s="351">
        <f>_xlfn.STDEV.S('mode RTH B1'!B5,'mode RTH B1'!B13,'mode RTH B1'!B21,'mode RTH B1'!B29,'mode RTH B1'!B37,'mode RTH B1'!B45)</f>
        <v>0.55171964498888981</v>
      </c>
    </row>
    <row r="44" spans="3:12" ht="15" thickBot="1" x14ac:dyDescent="0.35">
      <c r="C44" s="357" t="s">
        <v>62</v>
      </c>
      <c r="D44" s="358">
        <f>_xlfn.STDEV.S('mode only B1'!B4,'mode only B1'!B9,'mode only B1'!B14,'mode only B1'!B19,'mode only B1'!B24,'mode only B1'!B29)</f>
        <v>10.440750459936616</v>
      </c>
      <c r="E44" s="358">
        <f>_xlfn.STDEV.S('mode RTH B1'!B6,'mode RTH B1'!B14,'mode RTH B1'!B22,'mode RTH B1'!B30,'mode RTH B1'!B38,'mode RTH B1'!B46)</f>
        <v>12.381236687019596</v>
      </c>
      <c r="F44" s="359">
        <f>D44-E44</f>
        <v>-1.9404862270829799</v>
      </c>
      <c r="G44" s="356"/>
      <c r="K44" s="352" t="str">
        <f>'mode RTH B1'!A8</f>
        <v>slope</v>
      </c>
      <c r="L44" s="351">
        <f>_xlfn.STDEV.S('mode RTH B1'!B8,'mode RTH B1'!B16,'mode RTH B1'!B24,'mode RTH B1'!B32,'mode RTH B1'!B40,'mode RTH B1'!B48)</f>
        <v>2.6990235827054199</v>
      </c>
    </row>
    <row r="45" spans="3:12" x14ac:dyDescent="0.3">
      <c r="C45" s="357" t="s">
        <v>63</v>
      </c>
      <c r="D45" s="358">
        <f>_xlfn.STDEV.S('mode only B1'!B5,'mode only B1'!B10,'mode only B1'!B15,'mode only B1'!B20,'mode only B1'!B25,'mode only B1'!B30)</f>
        <v>7.8731265305891434</v>
      </c>
      <c r="E45" s="358">
        <f>_xlfn.STDEV.S('mode RTH B1'!B7,'mode RTH B1'!B15,'mode RTH B1'!B23,'mode RTH B1'!B31,'mode RTH B1'!B39,'mode RTH B1'!B47)</f>
        <v>8.5852010576340021</v>
      </c>
      <c r="F45" s="359">
        <f>D45-E45</f>
        <v>-0.71207452704485874</v>
      </c>
      <c r="G45" s="356"/>
    </row>
    <row r="46" spans="3:12" x14ac:dyDescent="0.3">
      <c r="C46" s="360"/>
      <c r="D46" s="360"/>
      <c r="E46" s="355"/>
      <c r="F46" s="355"/>
      <c r="G46" s="356"/>
    </row>
    <row r="47" spans="3:12" ht="15" customHeight="1" x14ac:dyDescent="0.3">
      <c r="C47" s="354" t="s">
        <v>111</v>
      </c>
      <c r="D47" s="354" t="s">
        <v>109</v>
      </c>
      <c r="E47" s="354" t="s">
        <v>110</v>
      </c>
      <c r="F47" s="355" t="s">
        <v>107</v>
      </c>
      <c r="G47" s="361"/>
    </row>
    <row r="48" spans="3:12" ht="15" thickBot="1" x14ac:dyDescent="0.35">
      <c r="C48" s="357" t="s">
        <v>58</v>
      </c>
      <c r="D48" s="358">
        <f>AVERAGE('mode only B1'!B2,'mode only B1'!B7,'mode only B1'!B12,'mode only B1'!B17,'mode only B1'!B22,'mode only B1'!B27)</f>
        <v>1.4906666666666668</v>
      </c>
      <c r="E48" s="358">
        <f>AVERAGE('mode RTH B1'!B2,'mode RTH B1'!B10,'mode RTH B1'!B18,'mode RTH B1'!B26,'mode RTH B1'!B34,'mode RTH B1'!B42)</f>
        <v>0.70466666666666677</v>
      </c>
      <c r="F48" s="359">
        <f>D48-E48</f>
        <v>0.78600000000000003</v>
      </c>
      <c r="G48" s="356"/>
      <c r="K48" s="352" t="str">
        <f>'mode RTH B1'!A12</f>
        <v>Exc. size</v>
      </c>
      <c r="L48" s="351">
        <f>AVERAGE('mode RTH B1'!B4,'mode RTH B1'!B12,'mode RTH B1'!B20,'mode RTH B1'!B28,'mode RTH B1'!B36,'mode RTH B1'!B44)</f>
        <v>0.42783333333333334</v>
      </c>
    </row>
    <row r="49" spans="3:12" ht="15" thickBot="1" x14ac:dyDescent="0.35">
      <c r="C49" s="357" t="s">
        <v>59</v>
      </c>
      <c r="D49" s="358">
        <f>AVERAGE('mode only B1'!B3,'mode only B1'!B8,'mode only B1'!B13,'mode only B1'!B18,'mode only B1'!B23,'mode only B1'!B28)</f>
        <v>2.4751666666666665</v>
      </c>
      <c r="E49" s="358">
        <f>AVERAGE('mode RTH B1'!B3,'mode RTH B1'!B11,'mode RTH B1'!B19,'mode RTH B1'!B27,'mode RTH B1'!B35,'mode RTH B1'!B43)</f>
        <v>1.2686666666666666</v>
      </c>
      <c r="F49" s="359">
        <f>D49-E49</f>
        <v>1.2064999999999999</v>
      </c>
      <c r="G49" s="356"/>
      <c r="K49" s="352" t="str">
        <f>'mode RTH B1'!A13</f>
        <v>mean f0</v>
      </c>
      <c r="L49" s="351">
        <f>AVERAGE('mode RTH B1'!B5,'mode RTH B1'!B13,'mode RTH B1'!B21,'mode RTH B1'!B29,'mode RTH B1'!B37,'mode RTH B1'!B45)</f>
        <v>0.9511666666666666</v>
      </c>
    </row>
    <row r="50" spans="3:12" ht="15" thickBot="1" x14ac:dyDescent="0.35">
      <c r="C50" s="357" t="s">
        <v>62</v>
      </c>
      <c r="D50" s="358">
        <f>AVERAGE('mode only B1'!B4,'mode only B1'!B9,'mode only B1'!B14,'mode only B1'!B19,'mode only B1'!B24,'mode only B1'!B29)</f>
        <v>-10.973833333333333</v>
      </c>
      <c r="E50" s="358">
        <f>AVERAGE('mode RTH B1'!B6,'mode RTH B1'!B14,'mode RTH B1'!B22,'mode RTH B1'!B30,'mode RTH B1'!B38,'mode RTH B1'!B46)</f>
        <v>-9.8925000000000001</v>
      </c>
      <c r="F50" s="359">
        <f>D50-E50</f>
        <v>-1.0813333333333333</v>
      </c>
      <c r="G50" s="356"/>
      <c r="K50" s="352" t="str">
        <f>'mode RTH B1'!A16</f>
        <v>slope</v>
      </c>
      <c r="L50" s="351">
        <f>AVERAGE('mode RTH B1'!B8,'mode RTH B1'!B16,'mode RTH B1'!B24,'mode RTH B1'!B32,'mode RTH B1'!B40,'mode RTH B1'!B48)</f>
        <v>2.4425000000000003</v>
      </c>
    </row>
    <row r="51" spans="3:12" x14ac:dyDescent="0.3">
      <c r="C51" s="357" t="s">
        <v>63</v>
      </c>
      <c r="D51" s="358">
        <f>AVERAGE('mode only B1'!B5,'mode only B1'!B10,'mode only B1'!B15,'mode only B1'!B20,'mode only B1'!B25,'mode only B1'!B30)</f>
        <v>-8.7681666666666658</v>
      </c>
      <c r="E51" s="358">
        <f>AVERAGE('mode RTH B1'!B7,'mode RTH B1'!B15,'mode RTH B1'!B23,'mode RTH B1'!B31,'mode RTH B1'!B39,'mode RTH B1'!B47)</f>
        <v>-7.8849999999999989</v>
      </c>
      <c r="F51" s="359">
        <f>D51-E51</f>
        <v>-0.88316666666666688</v>
      </c>
      <c r="G51" s="356"/>
    </row>
    <row r="52" spans="3:12" x14ac:dyDescent="0.3">
      <c r="C52" s="356"/>
      <c r="D52" s="356"/>
      <c r="E52" s="356"/>
      <c r="F52" s="356"/>
      <c r="G52" s="356"/>
    </row>
    <row r="53" spans="3:12" x14ac:dyDescent="0.3">
      <c r="D53" s="353" t="str">
        <f>D47</f>
        <v>mode-only</v>
      </c>
      <c r="E53" s="353" t="str">
        <f>E47</f>
        <v>mode+phon</v>
      </c>
      <c r="F53" s="362" t="str">
        <f>F47</f>
        <v>diff</v>
      </c>
    </row>
    <row r="54" spans="3:12" x14ac:dyDescent="0.3">
      <c r="C54" t="str">
        <f>C48</f>
        <v>l_f0</v>
      </c>
      <c r="D54" t="str">
        <f>_xlfn.CONCAT(ROUND(D48,2), " (sd=", ROUND(D42,2), ")")</f>
        <v>1.49 (sd=0.9)</v>
      </c>
      <c r="E54" t="str">
        <f t="shared" ref="E54:F54" si="0">_xlfn.CONCAT(ROUND(E48,2), " (sd=", ROUND(E42,2), ")")</f>
        <v>0.7 (sd=0.58)</v>
      </c>
      <c r="F54" t="str">
        <f t="shared" si="0"/>
        <v>0.79 (sd=0.32)</v>
      </c>
    </row>
    <row r="55" spans="3:12" x14ac:dyDescent="0.3">
      <c r="C55" t="str">
        <f t="shared" ref="C55:C57" si="1">C49</f>
        <v>h_f0</v>
      </c>
      <c r="D55" t="str">
        <f t="shared" ref="D55:F55" si="2">_xlfn.CONCAT(ROUND(D49,2), " (sd=", ROUND(D43,2), ")")</f>
        <v>2.48 (sd=1.62)</v>
      </c>
      <c r="E55" t="str">
        <f t="shared" si="2"/>
        <v>1.27 (sd=0.71)</v>
      </c>
      <c r="F55" t="str">
        <f t="shared" si="2"/>
        <v>1.21 (sd=0.91)</v>
      </c>
    </row>
    <row r="56" spans="3:12" x14ac:dyDescent="0.3">
      <c r="C56" t="str">
        <f t="shared" si="1"/>
        <v>l_t</v>
      </c>
      <c r="D56" t="str">
        <f t="shared" ref="D56:F56" si="3">_xlfn.CONCAT(ROUND(D50,2), " (sd=", ROUND(D44,2), ")")</f>
        <v>-10.97 (sd=10.44)</v>
      </c>
      <c r="E56" t="str">
        <f t="shared" si="3"/>
        <v>-9.89 (sd=12.38)</v>
      </c>
      <c r="F56" t="str">
        <f t="shared" si="3"/>
        <v>-1.08 (sd=-1.94)</v>
      </c>
    </row>
    <row r="57" spans="3:12" x14ac:dyDescent="0.3">
      <c r="C57" t="str">
        <f t="shared" si="1"/>
        <v>h_t</v>
      </c>
      <c r="D57" t="str">
        <f t="shared" ref="D57:F57" si="4">_xlfn.CONCAT(ROUND(D51,2), " (sd=", ROUND(D45,2), ")")</f>
        <v>-8.77 (sd=7.87)</v>
      </c>
      <c r="E57" t="str">
        <f t="shared" si="4"/>
        <v>-7.89 (sd=8.59)</v>
      </c>
      <c r="F57" t="str">
        <f t="shared" si="4"/>
        <v>-0.88 (sd=-0.71)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mode only B0</vt:lpstr>
      <vt:lpstr>mode only B1</vt:lpstr>
      <vt:lpstr>mode RTH B0</vt:lpstr>
      <vt:lpstr>mode RTH B1</vt:lpstr>
      <vt:lpstr>PA B0</vt:lpstr>
      <vt:lpstr>PA B1</vt:lpstr>
      <vt:lpstr>mode only gr</vt:lpstr>
      <vt:lpstr>mode RTH gr</vt:lpstr>
      <vt:lpstr>comparisons</vt:lpstr>
      <vt:lpstr>PA gr</vt:lpstr>
      <vt:lpstr>Utt B0</vt:lpstr>
      <vt:lpstr>Utt B1</vt:lpstr>
      <vt:lpstr>legends</vt:lpstr>
      <vt:lpstr>'mode only B1'!Print_Area</vt:lpstr>
      <vt:lpstr>'mode RTH B1'!Print_Area</vt:lpstr>
      <vt:lpstr>'PA B0'!Print_Area</vt:lpstr>
      <vt:lpstr>'PA B1'!Print_Area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2022-08-01T01:37:59Z</dcterms:modified>
</cp:coreProperties>
</file>