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"/>
    </mc:Choice>
  </mc:AlternateContent>
  <xr:revisionPtr revIDLastSave="0" documentId="13_ncr:1_{7B186B6C-2637-4C7F-8737-0CF57045F81B}" xr6:coauthVersionLast="47" xr6:coauthVersionMax="47" xr10:uidLastSave="{00000000-0000-0000-0000-000000000000}"/>
  <bookViews>
    <workbookView xWindow="28680" yWindow="-5325" windowWidth="16440" windowHeight="28320" tabRatio="835" firstSheet="6" activeTab="14" xr2:uid="{5F934F14-35FB-48F8-B9CC-AA2F647F3C27}"/>
  </bookViews>
  <sheets>
    <sheet name="mode B0" sheetId="16" r:id="rId1"/>
    <sheet name="mode B1" sheetId="15" r:id="rId2"/>
    <sheet name="G mode" sheetId="17" r:id="rId3"/>
    <sheet name="mode RTH B0" sheetId="14" r:id="rId4"/>
    <sheet name="mode RTH B1" sheetId="2" r:id="rId5"/>
    <sheet name="G mode RTH" sheetId="7" r:id="rId6"/>
    <sheet name="PA B0" sheetId="13" r:id="rId7"/>
    <sheet name="PA B1" sheetId="10" r:id="rId8"/>
    <sheet name="G PA" sheetId="12" r:id="rId9"/>
    <sheet name="comparisons" sheetId="20" r:id="rId10"/>
    <sheet name="Utt B0" sheetId="18" r:id="rId11"/>
    <sheet name="Utt full B0" sheetId="21" r:id="rId12"/>
    <sheet name="Utt B1" sheetId="19" r:id="rId13"/>
    <sheet name="Utt full B1" sheetId="22" r:id="rId14"/>
    <sheet name="G Utt" sheetId="23" r:id="rId15"/>
    <sheet name="legends" sheetId="11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_xlnm.Print_Area" localSheetId="1">'mode B1'!$A$2:$BA$6</definedName>
    <definedName name="_xlnm.Print_Area" localSheetId="3">'mode RTH B0'!#REF!</definedName>
    <definedName name="_xlnm.Print_Area" localSheetId="4">'mode RTH B1'!$A$2:$BC$6</definedName>
    <definedName name="_xlnm.Print_Area" localSheetId="6">'PA B0'!$A$2:$AM$4</definedName>
    <definedName name="_xlnm.Print_Area" localSheetId="7">'PA B1'!$A$2:$BD$6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9" l="1"/>
  <c r="J17" i="19"/>
  <c r="J16" i="19"/>
  <c r="J15" i="19"/>
  <c r="J14" i="19"/>
  <c r="J13" i="19"/>
  <c r="J3" i="19"/>
  <c r="K3" i="19"/>
  <c r="L3" i="19"/>
  <c r="J4" i="19"/>
  <c r="K4" i="19"/>
  <c r="L4" i="19"/>
  <c r="J5" i="19"/>
  <c r="K5" i="19"/>
  <c r="L5" i="19"/>
  <c r="J6" i="19"/>
  <c r="K6" i="19"/>
  <c r="L6" i="19"/>
  <c r="J7" i="19"/>
  <c r="K7" i="19"/>
  <c r="L7" i="19"/>
  <c r="J8" i="19"/>
  <c r="K8" i="19"/>
  <c r="L8" i="19"/>
  <c r="A12" i="22"/>
  <c r="B12" i="22"/>
  <c r="C12" i="22"/>
  <c r="K18" i="22"/>
  <c r="J18" i="22"/>
  <c r="I18" i="22"/>
  <c r="H18" i="22"/>
  <c r="G18" i="22"/>
  <c r="F18" i="22"/>
  <c r="E18" i="22"/>
  <c r="D18" i="22"/>
  <c r="C18" i="22"/>
  <c r="K17" i="22"/>
  <c r="J17" i="22"/>
  <c r="I17" i="22"/>
  <c r="H17" i="22"/>
  <c r="G17" i="22"/>
  <c r="F17" i="22"/>
  <c r="E17" i="22"/>
  <c r="D17" i="22"/>
  <c r="C17" i="22"/>
  <c r="K16" i="22"/>
  <c r="J16" i="22"/>
  <c r="I16" i="22"/>
  <c r="H16" i="22"/>
  <c r="G16" i="22"/>
  <c r="F16" i="22"/>
  <c r="E16" i="22"/>
  <c r="D16" i="22"/>
  <c r="C16" i="22"/>
  <c r="K15" i="22"/>
  <c r="J15" i="22"/>
  <c r="I15" i="22"/>
  <c r="H15" i="22"/>
  <c r="G15" i="22"/>
  <c r="F15" i="22"/>
  <c r="E15" i="22"/>
  <c r="D15" i="22"/>
  <c r="C15" i="22"/>
  <c r="K14" i="22"/>
  <c r="J14" i="22"/>
  <c r="I14" i="22"/>
  <c r="H14" i="22"/>
  <c r="G14" i="22"/>
  <c r="F14" i="22"/>
  <c r="E14" i="22"/>
  <c r="D14" i="22"/>
  <c r="C14" i="22"/>
  <c r="K13" i="22"/>
  <c r="J13" i="22"/>
  <c r="I13" i="22"/>
  <c r="H13" i="22"/>
  <c r="G13" i="22"/>
  <c r="F13" i="22"/>
  <c r="E13" i="22"/>
  <c r="D13" i="22"/>
  <c r="C13" i="22"/>
  <c r="L13" i="22" s="1"/>
  <c r="K12" i="22"/>
  <c r="J12" i="22"/>
  <c r="I12" i="22"/>
  <c r="H12" i="22"/>
  <c r="G12" i="22"/>
  <c r="F12" i="22"/>
  <c r="E12" i="22"/>
  <c r="D12" i="22"/>
  <c r="J14" i="21"/>
  <c r="I14" i="21"/>
  <c r="H14" i="21"/>
  <c r="G14" i="21"/>
  <c r="F14" i="21"/>
  <c r="E14" i="21"/>
  <c r="D14" i="21"/>
  <c r="C14" i="21"/>
  <c r="B14" i="21"/>
  <c r="J13" i="21"/>
  <c r="I13" i="21"/>
  <c r="H13" i="21"/>
  <c r="G13" i="21"/>
  <c r="F13" i="21"/>
  <c r="E13" i="21"/>
  <c r="D13" i="21"/>
  <c r="C13" i="21"/>
  <c r="B13" i="21"/>
  <c r="J12" i="21"/>
  <c r="I12" i="21"/>
  <c r="H12" i="21"/>
  <c r="G12" i="21"/>
  <c r="F12" i="21"/>
  <c r="E12" i="21"/>
  <c r="D12" i="21"/>
  <c r="C12" i="21"/>
  <c r="B12" i="21"/>
  <c r="N11" i="21"/>
  <c r="M11" i="21"/>
  <c r="J11" i="21"/>
  <c r="I11" i="21"/>
  <c r="H11" i="21"/>
  <c r="G11" i="21"/>
  <c r="F11" i="21"/>
  <c r="E11" i="21"/>
  <c r="D11" i="21"/>
  <c r="C11" i="21"/>
  <c r="B11" i="21"/>
  <c r="J10" i="21"/>
  <c r="I10" i="21"/>
  <c r="H10" i="21"/>
  <c r="G10" i="21"/>
  <c r="F10" i="21"/>
  <c r="E10" i="21"/>
  <c r="D10" i="21"/>
  <c r="C10" i="21"/>
  <c r="B10" i="21"/>
  <c r="K8" i="22"/>
  <c r="J8" i="22"/>
  <c r="I8" i="22"/>
  <c r="H8" i="22"/>
  <c r="G8" i="22"/>
  <c r="F8" i="22"/>
  <c r="E8" i="22"/>
  <c r="D8" i="22"/>
  <c r="C8" i="22"/>
  <c r="K7" i="22"/>
  <c r="J7" i="22"/>
  <c r="I7" i="22"/>
  <c r="H7" i="22"/>
  <c r="G7" i="22"/>
  <c r="F7" i="22"/>
  <c r="E7" i="22"/>
  <c r="D7" i="22"/>
  <c r="C7" i="22"/>
  <c r="K6" i="22"/>
  <c r="J6" i="22"/>
  <c r="I6" i="22"/>
  <c r="H6" i="22"/>
  <c r="G6" i="22"/>
  <c r="F6" i="22"/>
  <c r="E6" i="22"/>
  <c r="D6" i="22"/>
  <c r="C6" i="22"/>
  <c r="K5" i="22"/>
  <c r="J5" i="22"/>
  <c r="I5" i="22"/>
  <c r="H5" i="22"/>
  <c r="G5" i="22"/>
  <c r="F5" i="22"/>
  <c r="E5" i="22"/>
  <c r="D5" i="22"/>
  <c r="C5" i="22"/>
  <c r="K4" i="22"/>
  <c r="J4" i="22"/>
  <c r="I4" i="22"/>
  <c r="H4" i="22"/>
  <c r="G4" i="22"/>
  <c r="F4" i="22"/>
  <c r="E4" i="22"/>
  <c r="D4" i="22"/>
  <c r="C4" i="22"/>
  <c r="K3" i="22"/>
  <c r="J3" i="22"/>
  <c r="I3" i="22"/>
  <c r="H3" i="22"/>
  <c r="G3" i="22"/>
  <c r="F3" i="22"/>
  <c r="E3" i="22"/>
  <c r="D3" i="22"/>
  <c r="C3" i="22"/>
  <c r="E9" i="22" s="1"/>
  <c r="J6" i="21"/>
  <c r="I6" i="21"/>
  <c r="H6" i="21"/>
  <c r="G6" i="21"/>
  <c r="F6" i="21"/>
  <c r="E6" i="21"/>
  <c r="D6" i="21"/>
  <c r="C6" i="21"/>
  <c r="B6" i="21"/>
  <c r="J5" i="21"/>
  <c r="I5" i="21"/>
  <c r="H5" i="21"/>
  <c r="G5" i="21"/>
  <c r="F5" i="21"/>
  <c r="E5" i="21"/>
  <c r="D5" i="21"/>
  <c r="K5" i="21" s="1"/>
  <c r="C5" i="21"/>
  <c r="B5" i="21"/>
  <c r="J4" i="21"/>
  <c r="I4" i="21"/>
  <c r="H4" i="21"/>
  <c r="G4" i="21"/>
  <c r="F4" i="21"/>
  <c r="E4" i="21"/>
  <c r="D4" i="21"/>
  <c r="C4" i="21"/>
  <c r="B4" i="21"/>
  <c r="N3" i="21"/>
  <c r="M3" i="21"/>
  <c r="J3" i="21"/>
  <c r="I3" i="21"/>
  <c r="H3" i="21"/>
  <c r="G3" i="21"/>
  <c r="F3" i="21"/>
  <c r="E3" i="21"/>
  <c r="D3" i="21"/>
  <c r="C3" i="21"/>
  <c r="B3" i="21"/>
  <c r="B8" i="21" s="1"/>
  <c r="J2" i="21"/>
  <c r="I2" i="21"/>
  <c r="H2" i="21"/>
  <c r="G2" i="21"/>
  <c r="F2" i="21"/>
  <c r="E2" i="21"/>
  <c r="D2" i="21"/>
  <c r="C2" i="21"/>
  <c r="B2" i="21"/>
  <c r="A38" i="16"/>
  <c r="A39" i="16"/>
  <c r="A40" i="16"/>
  <c r="A41" i="16"/>
  <c r="M3" i="18"/>
  <c r="N3" i="18"/>
  <c r="M11" i="18"/>
  <c r="N11" i="18"/>
  <c r="H11" i="13"/>
  <c r="I11" i="13"/>
  <c r="H16" i="2"/>
  <c r="H11" i="14"/>
  <c r="J7" i="10"/>
  <c r="J12" i="10" s="1"/>
  <c r="J17" i="10" s="1"/>
  <c r="J22" i="10" s="1"/>
  <c r="J27" i="10" s="1"/>
  <c r="I7" i="10"/>
  <c r="I12" i="10" s="1"/>
  <c r="I17" i="10" s="1"/>
  <c r="I22" i="10" s="1"/>
  <c r="I27" i="10" s="1"/>
  <c r="H7" i="10"/>
  <c r="H12" i="10" s="1"/>
  <c r="H17" i="10" s="1"/>
  <c r="H22" i="10" s="1"/>
  <c r="H27" i="10" s="1"/>
  <c r="G7" i="10"/>
  <c r="G12" i="10" s="1"/>
  <c r="G17" i="10" s="1"/>
  <c r="G22" i="10" s="1"/>
  <c r="G27" i="10" s="1"/>
  <c r="F7" i="10"/>
  <c r="F12" i="10" s="1"/>
  <c r="F17" i="10" s="1"/>
  <c r="F22" i="10" s="1"/>
  <c r="F27" i="10" s="1"/>
  <c r="D7" i="10"/>
  <c r="D12" i="10" s="1"/>
  <c r="D17" i="10" s="1"/>
  <c r="D22" i="10" s="1"/>
  <c r="D27" i="10" s="1"/>
  <c r="C7" i="10"/>
  <c r="C12" i="10" s="1"/>
  <c r="C17" i="10" s="1"/>
  <c r="C22" i="10" s="1"/>
  <c r="C27" i="10" s="1"/>
  <c r="B7" i="10"/>
  <c r="B12" i="10" s="1"/>
  <c r="B17" i="10" s="1"/>
  <c r="B22" i="10" s="1"/>
  <c r="B27" i="10" s="1"/>
  <c r="E2" i="10"/>
  <c r="E7" i="10" s="1"/>
  <c r="E12" i="10" s="1"/>
  <c r="E17" i="10" s="1"/>
  <c r="E22" i="10" s="1"/>
  <c r="E27" i="10" s="1"/>
  <c r="E2" i="13"/>
  <c r="E2" i="14"/>
  <c r="J21" i="10"/>
  <c r="I21" i="10"/>
  <c r="H21" i="10"/>
  <c r="G21" i="10"/>
  <c r="F21" i="10"/>
  <c r="E21" i="10"/>
  <c r="D21" i="10"/>
  <c r="C21" i="10"/>
  <c r="B21" i="10"/>
  <c r="B20" i="10"/>
  <c r="J20" i="10"/>
  <c r="I20" i="10"/>
  <c r="H20" i="10"/>
  <c r="G20" i="10"/>
  <c r="F20" i="10"/>
  <c r="E20" i="10"/>
  <c r="D20" i="10"/>
  <c r="C20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8" i="10"/>
  <c r="C28" i="10"/>
  <c r="D28" i="10"/>
  <c r="E28" i="10"/>
  <c r="F28" i="10"/>
  <c r="G28" i="10"/>
  <c r="H28" i="10"/>
  <c r="I28" i="10"/>
  <c r="J28" i="10"/>
  <c r="B18" i="10"/>
  <c r="F53" i="20"/>
  <c r="E53" i="20"/>
  <c r="D53" i="20"/>
  <c r="C57" i="20"/>
  <c r="C56" i="20"/>
  <c r="C55" i="20"/>
  <c r="C54" i="2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A7" i="16"/>
  <c r="C7" i="16"/>
  <c r="D7" i="16"/>
  <c r="E7" i="16"/>
  <c r="F7" i="16"/>
  <c r="G7" i="16"/>
  <c r="H7" i="16"/>
  <c r="I7" i="16"/>
  <c r="J7" i="16"/>
  <c r="A12" i="16"/>
  <c r="C12" i="16"/>
  <c r="D12" i="16"/>
  <c r="E12" i="16"/>
  <c r="F12" i="16"/>
  <c r="G12" i="16"/>
  <c r="H12" i="16"/>
  <c r="I12" i="16"/>
  <c r="J12" i="16"/>
  <c r="B16" i="21" l="1"/>
  <c r="D15" i="21"/>
  <c r="B15" i="21"/>
  <c r="K13" i="21"/>
  <c r="B7" i="21"/>
  <c r="D7" i="21"/>
  <c r="K20" i="10"/>
  <c r="L8" i="22"/>
  <c r="E19" i="22"/>
  <c r="B9" i="22"/>
  <c r="B20" i="22"/>
  <c r="L5" i="22"/>
  <c r="B10" i="22"/>
  <c r="K12" i="21"/>
  <c r="K14" i="21"/>
  <c r="K4" i="21"/>
  <c r="K6" i="21"/>
  <c r="K26" i="10"/>
  <c r="B19" i="22"/>
  <c r="K11" i="21"/>
  <c r="K3" i="21"/>
  <c r="L18" i="22"/>
  <c r="L3" i="22"/>
  <c r="K21" i="10"/>
  <c r="K25" i="10"/>
  <c r="K24" i="10"/>
  <c r="K28" i="10"/>
  <c r="K23" i="10"/>
  <c r="L15" i="22"/>
  <c r="L16" i="22"/>
  <c r="L6" i="22"/>
  <c r="L14" i="22"/>
  <c r="L17" i="22"/>
  <c r="L4" i="22"/>
  <c r="L7" i="22"/>
  <c r="D51" i="20"/>
  <c r="D45" i="20"/>
  <c r="K19" i="15"/>
  <c r="K24" i="15"/>
  <c r="D42" i="20"/>
  <c r="D48" i="20"/>
  <c r="K18" i="15"/>
  <c r="K20" i="15"/>
  <c r="D44" i="20"/>
  <c r="D49" i="20"/>
  <c r="D50" i="20"/>
  <c r="D43" i="20"/>
  <c r="K21" i="15"/>
  <c r="K30" i="15"/>
  <c r="K28" i="15"/>
  <c r="K23" i="15"/>
  <c r="K29" i="15"/>
  <c r="K25" i="15"/>
  <c r="K26" i="15"/>
  <c r="N6" i="16"/>
  <c r="M6" i="16"/>
  <c r="N5" i="16"/>
  <c r="M5" i="16"/>
  <c r="N4" i="16"/>
  <c r="M4" i="16"/>
  <c r="N3" i="16"/>
  <c r="M3" i="16"/>
  <c r="C3" i="19"/>
  <c r="D3" i="19"/>
  <c r="E3" i="19"/>
  <c r="F3" i="19"/>
  <c r="G3" i="19"/>
  <c r="H3" i="19"/>
  <c r="I3" i="19"/>
  <c r="C4" i="19"/>
  <c r="D4" i="19"/>
  <c r="E4" i="19"/>
  <c r="F4" i="19"/>
  <c r="G4" i="19"/>
  <c r="H4" i="19"/>
  <c r="I4" i="19"/>
  <c r="C5" i="19"/>
  <c r="D5" i="19"/>
  <c r="E5" i="19"/>
  <c r="F5" i="19"/>
  <c r="G5" i="19"/>
  <c r="H5" i="19"/>
  <c r="I5" i="19"/>
  <c r="C6" i="19"/>
  <c r="D6" i="19"/>
  <c r="E6" i="19"/>
  <c r="F6" i="19"/>
  <c r="G6" i="19"/>
  <c r="H6" i="19"/>
  <c r="I6" i="19"/>
  <c r="C7" i="19"/>
  <c r="D7" i="19"/>
  <c r="E7" i="19"/>
  <c r="F7" i="19"/>
  <c r="G7" i="19"/>
  <c r="H7" i="19"/>
  <c r="I7" i="19"/>
  <c r="C8" i="19"/>
  <c r="D8" i="19"/>
  <c r="E8" i="19"/>
  <c r="F8" i="19"/>
  <c r="G8" i="19"/>
  <c r="H8" i="19"/>
  <c r="I8" i="19"/>
  <c r="A12" i="19"/>
  <c r="B12" i="19"/>
  <c r="C12" i="19"/>
  <c r="D12" i="19"/>
  <c r="E12" i="19"/>
  <c r="F12" i="19"/>
  <c r="G12" i="19"/>
  <c r="H12" i="19"/>
  <c r="I12" i="19"/>
  <c r="J12" i="19"/>
  <c r="K12" i="19"/>
  <c r="C13" i="19"/>
  <c r="D13" i="19"/>
  <c r="E13" i="19"/>
  <c r="F13" i="19"/>
  <c r="G13" i="19"/>
  <c r="H13" i="19"/>
  <c r="I13" i="19"/>
  <c r="K13" i="19"/>
  <c r="C14" i="19"/>
  <c r="D14" i="19"/>
  <c r="E14" i="19"/>
  <c r="F14" i="19"/>
  <c r="G14" i="19"/>
  <c r="H14" i="19"/>
  <c r="I14" i="19"/>
  <c r="K14" i="19"/>
  <c r="C15" i="19"/>
  <c r="D15" i="19"/>
  <c r="E15" i="19"/>
  <c r="F15" i="19"/>
  <c r="G15" i="19"/>
  <c r="H15" i="19"/>
  <c r="I15" i="19"/>
  <c r="K15" i="19"/>
  <c r="C16" i="19"/>
  <c r="D16" i="19"/>
  <c r="E16" i="19"/>
  <c r="F16" i="19"/>
  <c r="G16" i="19"/>
  <c r="H16" i="19"/>
  <c r="I16" i="19"/>
  <c r="K16" i="19"/>
  <c r="C17" i="19"/>
  <c r="D17" i="19"/>
  <c r="E17" i="19"/>
  <c r="F17" i="19"/>
  <c r="G17" i="19"/>
  <c r="H17" i="19"/>
  <c r="I17" i="19"/>
  <c r="K17" i="19"/>
  <c r="C18" i="19"/>
  <c r="D18" i="19"/>
  <c r="E18" i="19"/>
  <c r="F18" i="19"/>
  <c r="G18" i="19"/>
  <c r="H18" i="19"/>
  <c r="I18" i="19"/>
  <c r="K18" i="19"/>
  <c r="B2" i="18"/>
  <c r="C2" i="18"/>
  <c r="D2" i="18"/>
  <c r="E2" i="18"/>
  <c r="F2" i="18"/>
  <c r="G2" i="18"/>
  <c r="H2" i="18"/>
  <c r="I2" i="18"/>
  <c r="J2" i="18"/>
  <c r="B3" i="18"/>
  <c r="C3" i="18"/>
  <c r="D3" i="18"/>
  <c r="K3" i="18" s="1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C6" i="18"/>
  <c r="D6" i="18"/>
  <c r="K6" i="18" s="1"/>
  <c r="E6" i="18"/>
  <c r="F6" i="18"/>
  <c r="G6" i="18"/>
  <c r="H6" i="18"/>
  <c r="I6" i="18"/>
  <c r="J6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K11" i="18" s="1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K14" i="18" s="1"/>
  <c r="E14" i="18"/>
  <c r="F14" i="18"/>
  <c r="G14" i="18"/>
  <c r="H14" i="18"/>
  <c r="I14" i="18"/>
  <c r="J14" i="18"/>
  <c r="B25" i="14"/>
  <c r="C25" i="14"/>
  <c r="D25" i="14"/>
  <c r="E25" i="14"/>
  <c r="B47" i="14"/>
  <c r="C47" i="14"/>
  <c r="D47" i="14"/>
  <c r="E47" i="14"/>
  <c r="B26" i="14"/>
  <c r="C26" i="14"/>
  <c r="D26" i="14"/>
  <c r="E26" i="14"/>
  <c r="B48" i="14"/>
  <c r="C48" i="14"/>
  <c r="D48" i="14"/>
  <c r="E48" i="14"/>
  <c r="B27" i="14"/>
  <c r="C27" i="14"/>
  <c r="D27" i="14"/>
  <c r="E27" i="14"/>
  <c r="B49" i="14"/>
  <c r="C49" i="14"/>
  <c r="D49" i="14"/>
  <c r="E49" i="14"/>
  <c r="B28" i="14"/>
  <c r="C28" i="14"/>
  <c r="D28" i="14"/>
  <c r="E28" i="14"/>
  <c r="B50" i="14"/>
  <c r="C50" i="14"/>
  <c r="D50" i="14"/>
  <c r="E50" i="14"/>
  <c r="B29" i="14"/>
  <c r="C29" i="14"/>
  <c r="D29" i="14"/>
  <c r="E29" i="14"/>
  <c r="B51" i="14"/>
  <c r="C51" i="14"/>
  <c r="D51" i="14"/>
  <c r="E51" i="14"/>
  <c r="B30" i="14"/>
  <c r="C30" i="14"/>
  <c r="D30" i="14"/>
  <c r="E30" i="14"/>
  <c r="B52" i="14"/>
  <c r="C52" i="14"/>
  <c r="D52" i="14"/>
  <c r="E52" i="14"/>
  <c r="B31" i="14"/>
  <c r="C31" i="14"/>
  <c r="D31" i="14"/>
  <c r="E31" i="14"/>
  <c r="B53" i="14"/>
  <c r="C53" i="14"/>
  <c r="D53" i="14"/>
  <c r="E53" i="14"/>
  <c r="B32" i="14"/>
  <c r="C32" i="14"/>
  <c r="D32" i="14"/>
  <c r="E32" i="14"/>
  <c r="B54" i="14"/>
  <c r="C54" i="14"/>
  <c r="D54" i="14"/>
  <c r="E54" i="14"/>
  <c r="A36" i="14"/>
  <c r="A47" i="14" s="1"/>
  <c r="B36" i="14"/>
  <c r="C36" i="14"/>
  <c r="D36" i="14"/>
  <c r="E36" i="14"/>
  <c r="A58" i="14"/>
  <c r="B58" i="14"/>
  <c r="C58" i="14"/>
  <c r="D58" i="14"/>
  <c r="E58" i="14"/>
  <c r="A37" i="14"/>
  <c r="A48" i="14" s="1"/>
  <c r="B37" i="14"/>
  <c r="C37" i="14"/>
  <c r="D37" i="14"/>
  <c r="E37" i="14"/>
  <c r="A59" i="14"/>
  <c r="B59" i="14"/>
  <c r="C59" i="14"/>
  <c r="D59" i="14"/>
  <c r="E59" i="14"/>
  <c r="A38" i="14"/>
  <c r="A49" i="14" s="1"/>
  <c r="B38" i="14"/>
  <c r="C38" i="14"/>
  <c r="D38" i="14"/>
  <c r="E38" i="14"/>
  <c r="A60" i="14"/>
  <c r="B60" i="14"/>
  <c r="C60" i="14"/>
  <c r="D60" i="14"/>
  <c r="E60" i="14"/>
  <c r="A39" i="14"/>
  <c r="A50" i="14" s="1"/>
  <c r="B39" i="14"/>
  <c r="C39" i="14"/>
  <c r="D39" i="14"/>
  <c r="E39" i="14"/>
  <c r="A61" i="14"/>
  <c r="B61" i="14"/>
  <c r="C61" i="14"/>
  <c r="D61" i="14"/>
  <c r="E61" i="14"/>
  <c r="A40" i="14"/>
  <c r="A51" i="14" s="1"/>
  <c r="B40" i="14"/>
  <c r="C40" i="14"/>
  <c r="D40" i="14"/>
  <c r="E40" i="14"/>
  <c r="A62" i="14"/>
  <c r="B62" i="14"/>
  <c r="C62" i="14"/>
  <c r="D62" i="14"/>
  <c r="E62" i="14"/>
  <c r="A41" i="14"/>
  <c r="A52" i="14" s="1"/>
  <c r="B41" i="14"/>
  <c r="C41" i="14"/>
  <c r="D41" i="14"/>
  <c r="E41" i="14"/>
  <c r="A63" i="14"/>
  <c r="B63" i="14"/>
  <c r="C63" i="14"/>
  <c r="D63" i="14"/>
  <c r="E63" i="14"/>
  <c r="A42" i="14"/>
  <c r="A53" i="14" s="1"/>
  <c r="B42" i="14"/>
  <c r="C42" i="14"/>
  <c r="D42" i="14"/>
  <c r="E42" i="14"/>
  <c r="A64" i="14"/>
  <c r="B64" i="14"/>
  <c r="C64" i="14"/>
  <c r="D64" i="14"/>
  <c r="E64" i="14"/>
  <c r="A43" i="14"/>
  <c r="A54" i="14" s="1"/>
  <c r="B43" i="14"/>
  <c r="C43" i="14"/>
  <c r="D43" i="14"/>
  <c r="E43" i="14"/>
  <c r="A65" i="14"/>
  <c r="B65" i="14"/>
  <c r="C65" i="14"/>
  <c r="D65" i="14"/>
  <c r="E65" i="14"/>
  <c r="B25" i="16"/>
  <c r="B5" i="16" s="1"/>
  <c r="C25" i="16"/>
  <c r="C5" i="16" s="1"/>
  <c r="D25" i="16"/>
  <c r="E25" i="16"/>
  <c r="E5" i="16" s="1"/>
  <c r="F25" i="16"/>
  <c r="F5" i="16" s="1"/>
  <c r="G25" i="16"/>
  <c r="G5" i="16" s="1"/>
  <c r="H25" i="16"/>
  <c r="H5" i="16" s="1"/>
  <c r="I25" i="16"/>
  <c r="I5" i="16" s="1"/>
  <c r="J25" i="16"/>
  <c r="J5" i="16" s="1"/>
  <c r="B38" i="16"/>
  <c r="C38" i="16"/>
  <c r="C3" i="16" s="1"/>
  <c r="D38" i="16"/>
  <c r="D3" i="16" s="1"/>
  <c r="E38" i="16"/>
  <c r="E3" i="16" s="1"/>
  <c r="F38" i="16"/>
  <c r="F3" i="16" s="1"/>
  <c r="G38" i="16"/>
  <c r="G3" i="16" s="1"/>
  <c r="H38" i="16"/>
  <c r="H3" i="16" s="1"/>
  <c r="I38" i="16"/>
  <c r="I3" i="16" s="1"/>
  <c r="J38" i="16"/>
  <c r="J3" i="16" s="1"/>
  <c r="B26" i="16"/>
  <c r="B10" i="16" s="1"/>
  <c r="C26" i="16"/>
  <c r="C10" i="16" s="1"/>
  <c r="D26" i="16"/>
  <c r="D10" i="16" s="1"/>
  <c r="E26" i="16"/>
  <c r="E10" i="16" s="1"/>
  <c r="F26" i="16"/>
  <c r="F10" i="16" s="1"/>
  <c r="G26" i="16"/>
  <c r="G10" i="16" s="1"/>
  <c r="H26" i="16"/>
  <c r="H10" i="16" s="1"/>
  <c r="I26" i="16"/>
  <c r="I10" i="16" s="1"/>
  <c r="J26" i="16"/>
  <c r="J10" i="16" s="1"/>
  <c r="B39" i="16"/>
  <c r="B8" i="16" s="1"/>
  <c r="C39" i="16"/>
  <c r="C8" i="16" s="1"/>
  <c r="D39" i="16"/>
  <c r="D8" i="16" s="1"/>
  <c r="E39" i="16"/>
  <c r="E8" i="16" s="1"/>
  <c r="F39" i="16"/>
  <c r="F8" i="16" s="1"/>
  <c r="G39" i="16"/>
  <c r="G8" i="16" s="1"/>
  <c r="H39" i="16"/>
  <c r="H8" i="16" s="1"/>
  <c r="I39" i="16"/>
  <c r="I8" i="16" s="1"/>
  <c r="J39" i="16"/>
  <c r="J8" i="16" s="1"/>
  <c r="B27" i="16"/>
  <c r="B15" i="16" s="1"/>
  <c r="C27" i="16"/>
  <c r="C15" i="16" s="1"/>
  <c r="D27" i="16"/>
  <c r="D15" i="16" s="1"/>
  <c r="E27" i="16"/>
  <c r="E15" i="16" s="1"/>
  <c r="F27" i="16"/>
  <c r="F15" i="16" s="1"/>
  <c r="G27" i="16"/>
  <c r="G15" i="16" s="1"/>
  <c r="H27" i="16"/>
  <c r="H15" i="16" s="1"/>
  <c r="I27" i="16"/>
  <c r="I15" i="16" s="1"/>
  <c r="J27" i="16"/>
  <c r="J15" i="16" s="1"/>
  <c r="B40" i="16"/>
  <c r="B13" i="16" s="1"/>
  <c r="C40" i="16"/>
  <c r="C13" i="16" s="1"/>
  <c r="D40" i="16"/>
  <c r="D13" i="16" s="1"/>
  <c r="E40" i="16"/>
  <c r="E13" i="16" s="1"/>
  <c r="F40" i="16"/>
  <c r="F13" i="16" s="1"/>
  <c r="G40" i="16"/>
  <c r="G13" i="16" s="1"/>
  <c r="H40" i="16"/>
  <c r="H13" i="16" s="1"/>
  <c r="I40" i="16"/>
  <c r="I13" i="16" s="1"/>
  <c r="J40" i="16"/>
  <c r="J13" i="16" s="1"/>
  <c r="B28" i="16"/>
  <c r="C28" i="16"/>
  <c r="D28" i="16"/>
  <c r="D16" i="16" s="1"/>
  <c r="E28" i="16"/>
  <c r="E16" i="16" s="1"/>
  <c r="F28" i="16"/>
  <c r="F16" i="16" s="1"/>
  <c r="G28" i="16"/>
  <c r="G16" i="16" s="1"/>
  <c r="H28" i="16"/>
  <c r="I28" i="16"/>
  <c r="I16" i="16" s="1"/>
  <c r="J28" i="16"/>
  <c r="J16" i="16" s="1"/>
  <c r="B41" i="16"/>
  <c r="B18" i="16" s="1"/>
  <c r="C41" i="16"/>
  <c r="C18" i="16" s="1"/>
  <c r="D41" i="16"/>
  <c r="D18" i="16" s="1"/>
  <c r="E41" i="16"/>
  <c r="E18" i="16" s="1"/>
  <c r="F41" i="16"/>
  <c r="F18" i="16" s="1"/>
  <c r="G41" i="16"/>
  <c r="G18" i="16" s="1"/>
  <c r="H41" i="16"/>
  <c r="H18" i="16" s="1"/>
  <c r="I41" i="16"/>
  <c r="I18" i="16" s="1"/>
  <c r="J41" i="16"/>
  <c r="J18" i="16" s="1"/>
  <c r="A31" i="16"/>
  <c r="B31" i="16"/>
  <c r="B6" i="16" s="1"/>
  <c r="C31" i="16"/>
  <c r="D31" i="16"/>
  <c r="D6" i="16" s="1"/>
  <c r="E31" i="16"/>
  <c r="E6" i="16" s="1"/>
  <c r="F31" i="16"/>
  <c r="F6" i="16" s="1"/>
  <c r="G31" i="16"/>
  <c r="G6" i="16" s="1"/>
  <c r="H31" i="16"/>
  <c r="H6" i="16" s="1"/>
  <c r="I31" i="16"/>
  <c r="I6" i="16" s="1"/>
  <c r="J31" i="16"/>
  <c r="J6" i="16" s="1"/>
  <c r="A44" i="16"/>
  <c r="B44" i="16"/>
  <c r="B4" i="16" s="1"/>
  <c r="C44" i="16"/>
  <c r="C4" i="16" s="1"/>
  <c r="D44" i="16"/>
  <c r="D4" i="16" s="1"/>
  <c r="E44" i="16"/>
  <c r="E4" i="16" s="1"/>
  <c r="F44" i="16"/>
  <c r="F4" i="16" s="1"/>
  <c r="G44" i="16"/>
  <c r="G4" i="16" s="1"/>
  <c r="H44" i="16"/>
  <c r="H4" i="16" s="1"/>
  <c r="I44" i="16"/>
  <c r="I4" i="16" s="1"/>
  <c r="J44" i="16"/>
  <c r="J4" i="16" s="1"/>
  <c r="A32" i="16"/>
  <c r="B32" i="16"/>
  <c r="B11" i="16" s="1"/>
  <c r="C32" i="16"/>
  <c r="C11" i="16" s="1"/>
  <c r="D32" i="16"/>
  <c r="D11" i="16" s="1"/>
  <c r="E32" i="16"/>
  <c r="E11" i="16" s="1"/>
  <c r="F32" i="16"/>
  <c r="F11" i="16" s="1"/>
  <c r="G32" i="16"/>
  <c r="G11" i="16" s="1"/>
  <c r="H32" i="16"/>
  <c r="H11" i="16" s="1"/>
  <c r="I32" i="16"/>
  <c r="I11" i="16" s="1"/>
  <c r="J32" i="16"/>
  <c r="J11" i="16" s="1"/>
  <c r="A45" i="16"/>
  <c r="B45" i="16"/>
  <c r="B9" i="16" s="1"/>
  <c r="C45" i="16"/>
  <c r="C9" i="16" s="1"/>
  <c r="D45" i="16"/>
  <c r="D9" i="16" s="1"/>
  <c r="E45" i="16"/>
  <c r="E9" i="16" s="1"/>
  <c r="F45" i="16"/>
  <c r="F9" i="16" s="1"/>
  <c r="G45" i="16"/>
  <c r="G9" i="16" s="1"/>
  <c r="H45" i="16"/>
  <c r="H9" i="16" s="1"/>
  <c r="I45" i="16"/>
  <c r="I9" i="16" s="1"/>
  <c r="J45" i="16"/>
  <c r="J9" i="16" s="1"/>
  <c r="A33" i="16"/>
  <c r="A17" i="16" s="1"/>
  <c r="B33" i="16"/>
  <c r="C33" i="16"/>
  <c r="D33" i="16"/>
  <c r="E33" i="16"/>
  <c r="F33" i="16"/>
  <c r="G33" i="16"/>
  <c r="H33" i="16"/>
  <c r="I33" i="16"/>
  <c r="J33" i="16"/>
  <c r="A46" i="16"/>
  <c r="B46" i="16"/>
  <c r="B14" i="16" s="1"/>
  <c r="C46" i="16"/>
  <c r="C14" i="16" s="1"/>
  <c r="D46" i="16"/>
  <c r="D14" i="16" s="1"/>
  <c r="E46" i="16"/>
  <c r="E14" i="16" s="1"/>
  <c r="F46" i="16"/>
  <c r="F14" i="16" s="1"/>
  <c r="G46" i="16"/>
  <c r="G14" i="16" s="1"/>
  <c r="H46" i="16"/>
  <c r="H14" i="16" s="1"/>
  <c r="I46" i="16"/>
  <c r="I14" i="16" s="1"/>
  <c r="J46" i="16"/>
  <c r="J14" i="16" s="1"/>
  <c r="A34" i="16"/>
  <c r="B34" i="16"/>
  <c r="B21" i="16" s="1"/>
  <c r="C34" i="16"/>
  <c r="C21" i="16" s="1"/>
  <c r="D34" i="16"/>
  <c r="D21" i="16" s="1"/>
  <c r="E34" i="16"/>
  <c r="E21" i="16" s="1"/>
  <c r="F34" i="16"/>
  <c r="F21" i="16" s="1"/>
  <c r="G34" i="16"/>
  <c r="G21" i="16" s="1"/>
  <c r="H34" i="16"/>
  <c r="H21" i="16" s="1"/>
  <c r="I34" i="16"/>
  <c r="I21" i="16" s="1"/>
  <c r="J34" i="16"/>
  <c r="J21" i="16" s="1"/>
  <c r="A47" i="16"/>
  <c r="B47" i="16"/>
  <c r="B19" i="16" s="1"/>
  <c r="C47" i="16"/>
  <c r="C19" i="16" s="1"/>
  <c r="D47" i="16"/>
  <c r="D19" i="16" s="1"/>
  <c r="E47" i="16"/>
  <c r="E19" i="16" s="1"/>
  <c r="F47" i="16"/>
  <c r="F19" i="16" s="1"/>
  <c r="G47" i="16"/>
  <c r="G19" i="16" s="1"/>
  <c r="H47" i="16"/>
  <c r="H19" i="16" s="1"/>
  <c r="I47" i="16"/>
  <c r="I19" i="16" s="1"/>
  <c r="J47" i="16"/>
  <c r="J19" i="16" s="1"/>
  <c r="A2" i="16"/>
  <c r="C2" i="16"/>
  <c r="D2" i="16"/>
  <c r="E2" i="16"/>
  <c r="F2" i="16"/>
  <c r="G2" i="16"/>
  <c r="H2" i="16"/>
  <c r="I2" i="16"/>
  <c r="J2" i="16"/>
  <c r="D5" i="16"/>
  <c r="C17" i="16"/>
  <c r="D17" i="16"/>
  <c r="E17" i="16"/>
  <c r="F17" i="16"/>
  <c r="G17" i="16"/>
  <c r="H17" i="16"/>
  <c r="I17" i="16"/>
  <c r="J17" i="16"/>
  <c r="C3" i="15"/>
  <c r="K3" i="15" s="1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J27" i="15" s="1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K16" i="15" s="1"/>
  <c r="D16" i="15"/>
  <c r="E16" i="15"/>
  <c r="F16" i="15"/>
  <c r="G16" i="15"/>
  <c r="H16" i="15"/>
  <c r="I16" i="15"/>
  <c r="J16" i="15"/>
  <c r="C31" i="15"/>
  <c r="D31" i="15"/>
  <c r="E31" i="15"/>
  <c r="F31" i="15"/>
  <c r="G31" i="15"/>
  <c r="H31" i="15"/>
  <c r="I31" i="15"/>
  <c r="J31" i="15"/>
  <c r="M3" i="14"/>
  <c r="N3" i="14"/>
  <c r="M4" i="14"/>
  <c r="N4" i="14"/>
  <c r="M5" i="14"/>
  <c r="N5" i="14"/>
  <c r="M6" i="14"/>
  <c r="N6" i="14"/>
  <c r="E2" i="2"/>
  <c r="E7" i="2" s="1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J17" i="14"/>
  <c r="H17" i="14"/>
  <c r="G17" i="14"/>
  <c r="F17" i="14"/>
  <c r="D17" i="14"/>
  <c r="J12" i="14"/>
  <c r="H12" i="14"/>
  <c r="G12" i="14"/>
  <c r="F12" i="14"/>
  <c r="D12" i="14"/>
  <c r="C12" i="14"/>
  <c r="B17" i="14"/>
  <c r="B12" i="14"/>
  <c r="J7" i="14"/>
  <c r="H7" i="14"/>
  <c r="G7" i="14"/>
  <c r="F7" i="14"/>
  <c r="D7" i="14"/>
  <c r="C7" i="14"/>
  <c r="B7" i="14"/>
  <c r="B3" i="14"/>
  <c r="C3" i="14"/>
  <c r="D3" i="14"/>
  <c r="E3" i="14"/>
  <c r="F3" i="14"/>
  <c r="G3" i="14"/>
  <c r="H3" i="14"/>
  <c r="I3" i="14"/>
  <c r="J3" i="14"/>
  <c r="B8" i="14"/>
  <c r="C8" i="14"/>
  <c r="D8" i="14"/>
  <c r="E8" i="14"/>
  <c r="F8" i="14"/>
  <c r="G8" i="14"/>
  <c r="H8" i="14"/>
  <c r="I8" i="14"/>
  <c r="J8" i="14"/>
  <c r="B13" i="14"/>
  <c r="C13" i="14"/>
  <c r="D13" i="14"/>
  <c r="E13" i="14"/>
  <c r="F13" i="14"/>
  <c r="G13" i="14"/>
  <c r="H13" i="14"/>
  <c r="I13" i="14"/>
  <c r="J13" i="14"/>
  <c r="B18" i="14"/>
  <c r="C18" i="14"/>
  <c r="D18" i="14"/>
  <c r="E18" i="14"/>
  <c r="F18" i="14"/>
  <c r="G18" i="14"/>
  <c r="H18" i="14"/>
  <c r="I18" i="14"/>
  <c r="J18" i="14"/>
  <c r="B4" i="14"/>
  <c r="C4" i="14"/>
  <c r="D4" i="14"/>
  <c r="E4" i="14"/>
  <c r="F4" i="14"/>
  <c r="G4" i="14"/>
  <c r="H4" i="14"/>
  <c r="I4" i="14"/>
  <c r="J4" i="14"/>
  <c r="B9" i="14"/>
  <c r="C9" i="14"/>
  <c r="D9" i="14"/>
  <c r="E9" i="14"/>
  <c r="F9" i="14"/>
  <c r="G9" i="14"/>
  <c r="H9" i="14"/>
  <c r="I9" i="14"/>
  <c r="J9" i="14"/>
  <c r="B14" i="14"/>
  <c r="C14" i="14"/>
  <c r="D14" i="14"/>
  <c r="E14" i="14"/>
  <c r="F14" i="14"/>
  <c r="G14" i="14"/>
  <c r="H14" i="14"/>
  <c r="I14" i="14"/>
  <c r="J14" i="14"/>
  <c r="B19" i="14"/>
  <c r="C19" i="14"/>
  <c r="D19" i="14"/>
  <c r="E19" i="14"/>
  <c r="F19" i="14"/>
  <c r="G19" i="14"/>
  <c r="H19" i="14"/>
  <c r="I19" i="14"/>
  <c r="J19" i="14"/>
  <c r="B5" i="14"/>
  <c r="C5" i="14"/>
  <c r="D5" i="14"/>
  <c r="E5" i="14"/>
  <c r="F5" i="14"/>
  <c r="G5" i="14"/>
  <c r="H5" i="14"/>
  <c r="I5" i="14"/>
  <c r="J5" i="14"/>
  <c r="B10" i="14"/>
  <c r="C10" i="14"/>
  <c r="D10" i="14"/>
  <c r="E10" i="14"/>
  <c r="F10" i="14"/>
  <c r="G10" i="14"/>
  <c r="H10" i="14"/>
  <c r="I10" i="14"/>
  <c r="J10" i="14"/>
  <c r="B15" i="14"/>
  <c r="C15" i="14"/>
  <c r="D15" i="14"/>
  <c r="E15" i="14"/>
  <c r="F15" i="14"/>
  <c r="G15" i="14"/>
  <c r="H15" i="14"/>
  <c r="I15" i="14"/>
  <c r="J15" i="14"/>
  <c r="B20" i="14"/>
  <c r="C20" i="14"/>
  <c r="D20" i="14"/>
  <c r="E20" i="14"/>
  <c r="F20" i="14"/>
  <c r="G20" i="14"/>
  <c r="H20" i="14"/>
  <c r="I20" i="14"/>
  <c r="J20" i="14"/>
  <c r="B6" i="14"/>
  <c r="C6" i="14"/>
  <c r="D6" i="14"/>
  <c r="E6" i="14"/>
  <c r="F6" i="14"/>
  <c r="G6" i="14"/>
  <c r="H6" i="14"/>
  <c r="I6" i="14"/>
  <c r="J6" i="14"/>
  <c r="B11" i="14"/>
  <c r="C11" i="14"/>
  <c r="D11" i="14"/>
  <c r="E11" i="14"/>
  <c r="F11" i="14"/>
  <c r="G11" i="14"/>
  <c r="I11" i="14"/>
  <c r="J11" i="14"/>
  <c r="B16" i="14"/>
  <c r="C16" i="14"/>
  <c r="D16" i="14"/>
  <c r="E16" i="14"/>
  <c r="F16" i="14"/>
  <c r="G16" i="14"/>
  <c r="H16" i="14"/>
  <c r="I16" i="14"/>
  <c r="J16" i="14"/>
  <c r="B21" i="14"/>
  <c r="C21" i="14"/>
  <c r="D21" i="14"/>
  <c r="E21" i="14"/>
  <c r="F21" i="14"/>
  <c r="G21" i="14"/>
  <c r="H21" i="14"/>
  <c r="I21" i="14"/>
  <c r="J21" i="14"/>
  <c r="I7" i="13"/>
  <c r="B7" i="13"/>
  <c r="C7" i="13"/>
  <c r="D7" i="13"/>
  <c r="E7" i="13"/>
  <c r="F7" i="13"/>
  <c r="G7" i="13"/>
  <c r="H7" i="13"/>
  <c r="J7" i="13"/>
  <c r="B12" i="13"/>
  <c r="C12" i="13"/>
  <c r="D12" i="13"/>
  <c r="E12" i="13"/>
  <c r="F12" i="13"/>
  <c r="G12" i="13"/>
  <c r="H12" i="13"/>
  <c r="J12" i="13"/>
  <c r="B17" i="13"/>
  <c r="C17" i="13"/>
  <c r="D17" i="13"/>
  <c r="E17" i="13"/>
  <c r="F17" i="13"/>
  <c r="G17" i="13"/>
  <c r="H17" i="13"/>
  <c r="J17" i="13"/>
  <c r="B3" i="13"/>
  <c r="C3" i="13"/>
  <c r="D3" i="13"/>
  <c r="E3" i="13"/>
  <c r="F3" i="13"/>
  <c r="G3" i="13"/>
  <c r="H3" i="13"/>
  <c r="I3" i="13"/>
  <c r="J3" i="13"/>
  <c r="B8" i="13"/>
  <c r="C8" i="13"/>
  <c r="D8" i="13"/>
  <c r="E8" i="13"/>
  <c r="F8" i="13"/>
  <c r="G8" i="13"/>
  <c r="H8" i="13"/>
  <c r="I8" i="13"/>
  <c r="J8" i="13"/>
  <c r="B13" i="13"/>
  <c r="C13" i="13"/>
  <c r="D13" i="13"/>
  <c r="E13" i="13"/>
  <c r="F13" i="13"/>
  <c r="G13" i="13"/>
  <c r="H13" i="13"/>
  <c r="I13" i="13"/>
  <c r="J13" i="13"/>
  <c r="B18" i="13"/>
  <c r="C18" i="13"/>
  <c r="D18" i="13"/>
  <c r="E18" i="13"/>
  <c r="F18" i="13"/>
  <c r="G18" i="13"/>
  <c r="H18" i="13"/>
  <c r="I18" i="13"/>
  <c r="J18" i="13"/>
  <c r="B4" i="13"/>
  <c r="C4" i="13"/>
  <c r="D4" i="13"/>
  <c r="E4" i="13"/>
  <c r="F4" i="13"/>
  <c r="G4" i="13"/>
  <c r="H4" i="13"/>
  <c r="I4" i="13"/>
  <c r="J4" i="13"/>
  <c r="B9" i="13"/>
  <c r="C9" i="13"/>
  <c r="D9" i="13"/>
  <c r="E9" i="13"/>
  <c r="F9" i="13"/>
  <c r="G9" i="13"/>
  <c r="H9" i="13"/>
  <c r="I9" i="13"/>
  <c r="J9" i="13"/>
  <c r="B14" i="13"/>
  <c r="C14" i="13"/>
  <c r="D14" i="13"/>
  <c r="E14" i="13"/>
  <c r="F14" i="13"/>
  <c r="G14" i="13"/>
  <c r="H14" i="13"/>
  <c r="I14" i="13"/>
  <c r="J14" i="13"/>
  <c r="B19" i="13"/>
  <c r="C19" i="13"/>
  <c r="D19" i="13"/>
  <c r="E19" i="13"/>
  <c r="F19" i="13"/>
  <c r="G19" i="13"/>
  <c r="H19" i="13"/>
  <c r="I19" i="13"/>
  <c r="J19" i="13"/>
  <c r="B5" i="13"/>
  <c r="C5" i="13"/>
  <c r="D5" i="13"/>
  <c r="E5" i="13"/>
  <c r="F5" i="13"/>
  <c r="G5" i="13"/>
  <c r="H5" i="13"/>
  <c r="I5" i="13"/>
  <c r="J5" i="13"/>
  <c r="B10" i="13"/>
  <c r="C10" i="13"/>
  <c r="D10" i="13"/>
  <c r="E10" i="13"/>
  <c r="F10" i="13"/>
  <c r="G10" i="13"/>
  <c r="H10" i="13"/>
  <c r="I10" i="13"/>
  <c r="J10" i="13"/>
  <c r="B15" i="13"/>
  <c r="C15" i="13"/>
  <c r="D15" i="13"/>
  <c r="E15" i="13"/>
  <c r="F15" i="13"/>
  <c r="G15" i="13"/>
  <c r="H15" i="13"/>
  <c r="I15" i="13"/>
  <c r="J15" i="13"/>
  <c r="B20" i="13"/>
  <c r="C20" i="13"/>
  <c r="D20" i="13"/>
  <c r="E20" i="13"/>
  <c r="F20" i="13"/>
  <c r="G20" i="13"/>
  <c r="H20" i="13"/>
  <c r="I20" i="13"/>
  <c r="J20" i="13"/>
  <c r="B6" i="13"/>
  <c r="C6" i="13"/>
  <c r="D6" i="13"/>
  <c r="E6" i="13"/>
  <c r="F6" i="13"/>
  <c r="G6" i="13"/>
  <c r="H6" i="13"/>
  <c r="I6" i="13"/>
  <c r="J6" i="13"/>
  <c r="B11" i="13"/>
  <c r="C11" i="13"/>
  <c r="D11" i="13"/>
  <c r="E11" i="13"/>
  <c r="F11" i="13"/>
  <c r="G11" i="13"/>
  <c r="J11" i="13"/>
  <c r="B16" i="13"/>
  <c r="C16" i="13"/>
  <c r="D16" i="13"/>
  <c r="E16" i="13"/>
  <c r="F16" i="13"/>
  <c r="G16" i="13"/>
  <c r="H16" i="13"/>
  <c r="I16" i="13"/>
  <c r="J16" i="13"/>
  <c r="B21" i="13"/>
  <c r="C21" i="13"/>
  <c r="D21" i="13"/>
  <c r="E21" i="13"/>
  <c r="F21" i="13"/>
  <c r="G21" i="13"/>
  <c r="H21" i="13"/>
  <c r="I21" i="13"/>
  <c r="J21" i="13"/>
  <c r="L25" i="11"/>
  <c r="L24" i="11"/>
  <c r="L23" i="11"/>
  <c r="L19" i="11"/>
  <c r="L18" i="11"/>
  <c r="L17" i="11"/>
  <c r="J3" i="10"/>
  <c r="B3" i="10"/>
  <c r="C3" i="10"/>
  <c r="D3" i="10"/>
  <c r="E3" i="10"/>
  <c r="F3" i="10"/>
  <c r="G3" i="10"/>
  <c r="H3" i="10"/>
  <c r="I3" i="10"/>
  <c r="B8" i="10"/>
  <c r="C8" i="10"/>
  <c r="D8" i="10"/>
  <c r="E8" i="10"/>
  <c r="F8" i="10"/>
  <c r="G8" i="10"/>
  <c r="H8" i="10"/>
  <c r="I8" i="10"/>
  <c r="J8" i="10"/>
  <c r="B13" i="10"/>
  <c r="C13" i="10"/>
  <c r="D13" i="10"/>
  <c r="E13" i="10"/>
  <c r="F13" i="10"/>
  <c r="G13" i="10"/>
  <c r="H13" i="10"/>
  <c r="I13" i="10"/>
  <c r="J13" i="10"/>
  <c r="C18" i="10"/>
  <c r="K18" i="10" s="1"/>
  <c r="D18" i="10"/>
  <c r="E18" i="10"/>
  <c r="F18" i="10"/>
  <c r="G18" i="10"/>
  <c r="H18" i="10"/>
  <c r="I18" i="10"/>
  <c r="J18" i="10"/>
  <c r="K4" i="18" l="1"/>
  <c r="E19" i="19"/>
  <c r="K19" i="22" s="1"/>
  <c r="B19" i="19"/>
  <c r="H19" i="22" s="1"/>
  <c r="E9" i="19"/>
  <c r="K9" i="22" s="1"/>
  <c r="B9" i="19"/>
  <c r="H9" i="22" s="1"/>
  <c r="B15" i="18"/>
  <c r="H15" i="21" s="1"/>
  <c r="D15" i="18"/>
  <c r="K15" i="21" s="1"/>
  <c r="D7" i="18"/>
  <c r="K7" i="21" s="1"/>
  <c r="B7" i="18"/>
  <c r="H7" i="21" s="1"/>
  <c r="B20" i="19"/>
  <c r="H20" i="22" s="1"/>
  <c r="B10" i="19"/>
  <c r="K13" i="18"/>
  <c r="B16" i="18"/>
  <c r="K12" i="18"/>
  <c r="B8" i="18"/>
  <c r="K5" i="18"/>
  <c r="K13" i="10"/>
  <c r="K6" i="13"/>
  <c r="F20" i="16"/>
  <c r="L15" i="19"/>
  <c r="K3" i="10"/>
  <c r="K8" i="10"/>
  <c r="K11" i="13"/>
  <c r="K16" i="13"/>
  <c r="K21" i="13"/>
  <c r="D57" i="20"/>
  <c r="F47" i="14"/>
  <c r="D54" i="20"/>
  <c r="L16" i="19"/>
  <c r="L17" i="19"/>
  <c r="L13" i="19"/>
  <c r="L18" i="19"/>
  <c r="L14" i="19"/>
  <c r="D56" i="20"/>
  <c r="D55" i="20"/>
  <c r="F60" i="14"/>
  <c r="F26" i="14"/>
  <c r="F48" i="14"/>
  <c r="F49" i="14"/>
  <c r="C20" i="16"/>
  <c r="C16" i="16"/>
  <c r="B20" i="16"/>
  <c r="B16" i="16"/>
  <c r="H20" i="16"/>
  <c r="H16" i="16"/>
  <c r="K44" i="16"/>
  <c r="K27" i="16"/>
  <c r="K47" i="16"/>
  <c r="K33" i="16"/>
  <c r="D20" i="16"/>
  <c r="K10" i="15"/>
  <c r="K6" i="15"/>
  <c r="K8" i="15"/>
  <c r="K13" i="15"/>
  <c r="K4" i="15"/>
  <c r="K11" i="15"/>
  <c r="K14" i="15"/>
  <c r="K5" i="15"/>
  <c r="K15" i="15"/>
  <c r="K31" i="15"/>
  <c r="K9" i="15"/>
  <c r="F37" i="14"/>
  <c r="F25" i="14"/>
  <c r="F52" i="14"/>
  <c r="F50" i="14"/>
  <c r="F59" i="14"/>
  <c r="F61" i="14"/>
  <c r="F58" i="14"/>
  <c r="F53" i="14"/>
  <c r="F51" i="14"/>
  <c r="F41" i="14"/>
  <c r="F27" i="14"/>
  <c r="F62" i="14"/>
  <c r="F63" i="14"/>
  <c r="F64" i="14"/>
  <c r="F54" i="14"/>
  <c r="G20" i="16"/>
  <c r="K31" i="16"/>
  <c r="K39" i="16"/>
  <c r="E20" i="16"/>
  <c r="K45" i="16"/>
  <c r="K40" i="16"/>
  <c r="K25" i="16"/>
  <c r="J20" i="16"/>
  <c r="K38" i="16"/>
  <c r="C6" i="16"/>
  <c r="I20" i="16"/>
  <c r="K34" i="16"/>
  <c r="K26" i="16"/>
  <c r="K32" i="16"/>
  <c r="F43" i="14"/>
  <c r="F42" i="14"/>
  <c r="F30" i="14"/>
  <c r="F29" i="14"/>
  <c r="F40" i="14"/>
  <c r="F31" i="14"/>
  <c r="F36" i="14"/>
  <c r="F32" i="14"/>
  <c r="F28" i="14"/>
  <c r="F65" i="14"/>
  <c r="F39" i="14"/>
  <c r="F38" i="14"/>
  <c r="K28" i="16"/>
  <c r="B3" i="16"/>
  <c r="K46" i="16"/>
  <c r="K41" i="16"/>
  <c r="E7" i="14"/>
  <c r="E17" i="14"/>
  <c r="I12" i="14"/>
  <c r="I7" i="14"/>
  <c r="I17" i="14"/>
  <c r="I12" i="13"/>
  <c r="I17" i="13"/>
  <c r="J16" i="2" l="1"/>
  <c r="I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6" i="2"/>
  <c r="B15" i="2"/>
  <c r="K15" i="2" s="1"/>
  <c r="B14" i="2"/>
  <c r="B13" i="2"/>
  <c r="J31" i="10"/>
  <c r="I31" i="10"/>
  <c r="H31" i="10"/>
  <c r="G31" i="10"/>
  <c r="F31" i="10"/>
  <c r="E31" i="10"/>
  <c r="D31" i="10"/>
  <c r="C31" i="10"/>
  <c r="B31" i="10"/>
  <c r="J16" i="10"/>
  <c r="I16" i="10"/>
  <c r="H16" i="10"/>
  <c r="G16" i="10"/>
  <c r="F16" i="10"/>
  <c r="E16" i="10"/>
  <c r="D16" i="10"/>
  <c r="C16" i="10"/>
  <c r="B16" i="10"/>
  <c r="K16" i="10" s="1"/>
  <c r="J11" i="10"/>
  <c r="I11" i="10"/>
  <c r="H11" i="10"/>
  <c r="G11" i="10"/>
  <c r="F11" i="10"/>
  <c r="E11" i="10"/>
  <c r="D11" i="10"/>
  <c r="C11" i="10"/>
  <c r="B11" i="10"/>
  <c r="J6" i="10"/>
  <c r="I6" i="10"/>
  <c r="H6" i="10"/>
  <c r="G6" i="10"/>
  <c r="F6" i="10"/>
  <c r="E6" i="10"/>
  <c r="D6" i="10"/>
  <c r="C6" i="10"/>
  <c r="B6" i="10"/>
  <c r="J30" i="10"/>
  <c r="I30" i="10"/>
  <c r="H30" i="10"/>
  <c r="G30" i="10"/>
  <c r="F30" i="10"/>
  <c r="E30" i="10"/>
  <c r="D30" i="10"/>
  <c r="C30" i="10"/>
  <c r="B30" i="10"/>
  <c r="J15" i="10"/>
  <c r="I15" i="10"/>
  <c r="H15" i="10"/>
  <c r="G15" i="10"/>
  <c r="F15" i="10"/>
  <c r="E15" i="10"/>
  <c r="D15" i="10"/>
  <c r="C15" i="10"/>
  <c r="B15" i="10"/>
  <c r="J10" i="10"/>
  <c r="I10" i="10"/>
  <c r="H10" i="10"/>
  <c r="G10" i="10"/>
  <c r="F10" i="10"/>
  <c r="E10" i="10"/>
  <c r="D10" i="10"/>
  <c r="C10" i="10"/>
  <c r="B10" i="10"/>
  <c r="J5" i="10"/>
  <c r="I5" i="10"/>
  <c r="H5" i="10"/>
  <c r="G5" i="10"/>
  <c r="F5" i="10"/>
  <c r="E5" i="10"/>
  <c r="D5" i="10"/>
  <c r="C5" i="10"/>
  <c r="B5" i="10"/>
  <c r="K5" i="10" s="1"/>
  <c r="J29" i="10"/>
  <c r="I29" i="10"/>
  <c r="H29" i="10"/>
  <c r="G29" i="10"/>
  <c r="F29" i="10"/>
  <c r="E29" i="10"/>
  <c r="D29" i="10"/>
  <c r="C29" i="10"/>
  <c r="B29" i="10"/>
  <c r="K29" i="10" s="1"/>
  <c r="J19" i="10"/>
  <c r="I19" i="10"/>
  <c r="H19" i="10"/>
  <c r="G19" i="10"/>
  <c r="F19" i="10"/>
  <c r="E19" i="10"/>
  <c r="D19" i="10"/>
  <c r="C19" i="10"/>
  <c r="B19" i="10"/>
  <c r="J14" i="10"/>
  <c r="I14" i="10"/>
  <c r="H14" i="10"/>
  <c r="G14" i="10"/>
  <c r="F14" i="10"/>
  <c r="E14" i="10"/>
  <c r="D14" i="10"/>
  <c r="C14" i="10"/>
  <c r="B14" i="10"/>
  <c r="K14" i="10" s="1"/>
  <c r="J9" i="10"/>
  <c r="I9" i="10"/>
  <c r="H9" i="10"/>
  <c r="G9" i="10"/>
  <c r="F9" i="10"/>
  <c r="E9" i="10"/>
  <c r="D9" i="10"/>
  <c r="C9" i="10"/>
  <c r="B9" i="10"/>
  <c r="K9" i="10" s="1"/>
  <c r="J4" i="10"/>
  <c r="I4" i="10"/>
  <c r="H4" i="10"/>
  <c r="G4" i="10"/>
  <c r="F4" i="10"/>
  <c r="E4" i="10"/>
  <c r="D4" i="10"/>
  <c r="C4" i="10"/>
  <c r="B4" i="10"/>
  <c r="K4" i="10" s="1"/>
  <c r="J31" i="2"/>
  <c r="I31" i="2"/>
  <c r="H31" i="2"/>
  <c r="G31" i="2"/>
  <c r="F31" i="2"/>
  <c r="E31" i="2"/>
  <c r="D31" i="2"/>
  <c r="C31" i="2"/>
  <c r="B31" i="2"/>
  <c r="J26" i="2"/>
  <c r="I26" i="2"/>
  <c r="H26" i="2"/>
  <c r="G26" i="2"/>
  <c r="F26" i="2"/>
  <c r="E26" i="2"/>
  <c r="D26" i="2"/>
  <c r="C26" i="2"/>
  <c r="B26" i="2"/>
  <c r="J21" i="2"/>
  <c r="I21" i="2"/>
  <c r="H21" i="2"/>
  <c r="G21" i="2"/>
  <c r="F21" i="2"/>
  <c r="E21" i="2"/>
  <c r="D21" i="2"/>
  <c r="C21" i="2"/>
  <c r="B21" i="2"/>
  <c r="J11" i="2"/>
  <c r="I11" i="2"/>
  <c r="H11" i="2"/>
  <c r="G11" i="2"/>
  <c r="F11" i="2"/>
  <c r="E11" i="2"/>
  <c r="D11" i="2"/>
  <c r="C11" i="2"/>
  <c r="B11" i="2"/>
  <c r="K11" i="2" s="1"/>
  <c r="J6" i="2"/>
  <c r="I6" i="2"/>
  <c r="H6" i="2"/>
  <c r="G6" i="2"/>
  <c r="F6" i="2"/>
  <c r="E6" i="2"/>
  <c r="D6" i="2"/>
  <c r="C6" i="2"/>
  <c r="B6" i="2"/>
  <c r="J30" i="2"/>
  <c r="I30" i="2"/>
  <c r="H30" i="2"/>
  <c r="G30" i="2"/>
  <c r="F30" i="2"/>
  <c r="E30" i="2"/>
  <c r="D30" i="2"/>
  <c r="C30" i="2"/>
  <c r="B30" i="2"/>
  <c r="J25" i="2"/>
  <c r="I25" i="2"/>
  <c r="H25" i="2"/>
  <c r="G25" i="2"/>
  <c r="F25" i="2"/>
  <c r="E25" i="2"/>
  <c r="D25" i="2"/>
  <c r="C25" i="2"/>
  <c r="B25" i="2"/>
  <c r="J20" i="2"/>
  <c r="I20" i="2"/>
  <c r="H20" i="2"/>
  <c r="G20" i="2"/>
  <c r="F20" i="2"/>
  <c r="E20" i="2"/>
  <c r="D20" i="2"/>
  <c r="C20" i="2"/>
  <c r="B20" i="2"/>
  <c r="J10" i="2"/>
  <c r="I10" i="2"/>
  <c r="H10" i="2"/>
  <c r="G10" i="2"/>
  <c r="F10" i="2"/>
  <c r="E10" i="2"/>
  <c r="D10" i="2"/>
  <c r="C10" i="2"/>
  <c r="B10" i="2"/>
  <c r="J5" i="2"/>
  <c r="I5" i="2"/>
  <c r="H5" i="2"/>
  <c r="G5" i="2"/>
  <c r="F5" i="2"/>
  <c r="E5" i="2"/>
  <c r="D5" i="2"/>
  <c r="C5" i="2"/>
  <c r="B5" i="2"/>
  <c r="J29" i="2"/>
  <c r="I29" i="2"/>
  <c r="H29" i="2"/>
  <c r="G29" i="2"/>
  <c r="F29" i="2"/>
  <c r="E29" i="2"/>
  <c r="D29" i="2"/>
  <c r="C29" i="2"/>
  <c r="B29" i="2"/>
  <c r="J24" i="2"/>
  <c r="I24" i="2"/>
  <c r="H24" i="2"/>
  <c r="G24" i="2"/>
  <c r="F24" i="2"/>
  <c r="E24" i="2"/>
  <c r="D24" i="2"/>
  <c r="C24" i="2"/>
  <c r="B24" i="2"/>
  <c r="J19" i="2"/>
  <c r="I19" i="2"/>
  <c r="H19" i="2"/>
  <c r="G19" i="2"/>
  <c r="F19" i="2"/>
  <c r="E19" i="2"/>
  <c r="D19" i="2"/>
  <c r="C19" i="2"/>
  <c r="B19" i="2"/>
  <c r="J9" i="2"/>
  <c r="I9" i="2"/>
  <c r="H9" i="2"/>
  <c r="G9" i="2"/>
  <c r="F9" i="2"/>
  <c r="E9" i="2"/>
  <c r="D9" i="2"/>
  <c r="C9" i="2"/>
  <c r="B9" i="2"/>
  <c r="J4" i="2"/>
  <c r="I4" i="2"/>
  <c r="H4" i="2"/>
  <c r="G4" i="2"/>
  <c r="F4" i="2"/>
  <c r="E4" i="2"/>
  <c r="D4" i="2"/>
  <c r="C4" i="2"/>
  <c r="B4" i="2"/>
  <c r="J28" i="2"/>
  <c r="I28" i="2"/>
  <c r="H28" i="2"/>
  <c r="G28" i="2"/>
  <c r="F28" i="2"/>
  <c r="E28" i="2"/>
  <c r="D28" i="2"/>
  <c r="C28" i="2"/>
  <c r="B28" i="2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8" i="2"/>
  <c r="I8" i="2"/>
  <c r="H8" i="2"/>
  <c r="G8" i="2"/>
  <c r="F8" i="2"/>
  <c r="E8" i="2"/>
  <c r="D8" i="2"/>
  <c r="C8" i="2"/>
  <c r="B8" i="2"/>
  <c r="J3" i="2"/>
  <c r="I3" i="2"/>
  <c r="H3" i="2"/>
  <c r="G3" i="2"/>
  <c r="F3" i="2"/>
  <c r="E3" i="2"/>
  <c r="D3" i="2"/>
  <c r="C3" i="2"/>
  <c r="B3" i="2"/>
  <c r="J22" i="2"/>
  <c r="J17" i="2"/>
  <c r="J12" i="2"/>
  <c r="J7" i="2"/>
  <c r="K10" i="10" l="1"/>
  <c r="K11" i="10"/>
  <c r="K6" i="10"/>
  <c r="K15" i="10"/>
  <c r="K19" i="10"/>
  <c r="K30" i="10"/>
  <c r="K31" i="10"/>
  <c r="K23" i="2"/>
  <c r="K29" i="2"/>
  <c r="K13" i="2"/>
  <c r="K31" i="2"/>
  <c r="K14" i="2"/>
  <c r="K10" i="2"/>
  <c r="K8" i="2"/>
  <c r="E45" i="20"/>
  <c r="E51" i="20"/>
  <c r="F51" i="20" s="1"/>
  <c r="E44" i="20"/>
  <c r="F44" i="20" s="1"/>
  <c r="E50" i="20"/>
  <c r="K19" i="2"/>
  <c r="K3" i="2"/>
  <c r="E42" i="20"/>
  <c r="F42" i="20" s="1"/>
  <c r="E48" i="20"/>
  <c r="K18" i="2"/>
  <c r="E43" i="20"/>
  <c r="E49" i="20"/>
  <c r="F49" i="20" s="1"/>
  <c r="K28" i="2"/>
  <c r="K25" i="2"/>
  <c r="K9" i="2"/>
  <c r="K21" i="2"/>
  <c r="K26" i="2"/>
  <c r="K6" i="2"/>
  <c r="K16" i="2"/>
  <c r="K20" i="2"/>
  <c r="K5" i="2"/>
  <c r="K30" i="2"/>
  <c r="K24" i="2"/>
  <c r="K4" i="2"/>
  <c r="I17" i="2"/>
  <c r="E55" i="20" l="1"/>
  <c r="F43" i="20"/>
  <c r="F55" i="20" s="1"/>
  <c r="F48" i="20"/>
  <c r="F54" i="20" s="1"/>
  <c r="E54" i="20"/>
  <c r="E56" i="20"/>
  <c r="F50" i="20"/>
  <c r="F56" i="20" s="1"/>
  <c r="E57" i="20"/>
  <c r="F45" i="20"/>
  <c r="F57" i="20" s="1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J27" i="2" l="1"/>
</calcChain>
</file>

<file path=xl/sharedStrings.xml><?xml version="1.0" encoding="utf-8"?>
<sst xmlns="http://schemas.openxmlformats.org/spreadsheetml/2006/main" count="495" uniqueCount="97">
  <si>
    <t>Predictors</t>
  </si>
  <si>
    <t>Estimates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</si>
  <si>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</si>
  <si>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</si>
  <si>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</si>
  <si>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</si>
  <si>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</si>
  <si>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</si>
  <si>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</si>
  <si>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</si>
  <si>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</si>
  <si>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</si>
  <si>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</si>
  <si>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</si>
  <si>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</si>
  <si>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</si>
  <si>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</si>
  <si>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</si>
  <si>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</si>
  <si>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</si>
  <si>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</si>
  <si>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</si>
  <si>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</si>
  <si>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</si>
  <si>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</si>
  <si>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</si>
  <si>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</si>
  <si>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</si>
  <si>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</si>
  <si>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</si>
  <si>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</si>
  <si>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</si>
  <si>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p.adj</t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</si>
  <si>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</si>
  <si>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</si>
  <si>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</si>
  <si>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</si>
  <si>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</si>
  <si>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</si>
  <si>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</si>
  <si>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</si>
  <si>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</si>
  <si>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</si>
  <si>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</si>
  <si>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</si>
  <si>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</si>
  <si>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</si>
  <si>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</si>
  <si>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</si>
  <si>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</si>
  <si>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</si>
  <si>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</si>
  <si>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</si>
  <si>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</si>
  <si>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</si>
  <si>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</si>
  <si>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</si>
  <si>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</si>
  <si>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</si>
  <si>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</si>
  <si>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</si>
  <si>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</si>
  <si>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</si>
  <si>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</si>
  <si>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</si>
  <si>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diff</t>
  </si>
  <si>
    <t>SD</t>
  </si>
  <si>
    <t>mode-only</t>
  </si>
  <si>
    <t>mode+phon</t>
  </si>
  <si>
    <t>AVE</t>
  </si>
  <si>
    <t>parameter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</si>
  <si>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m</t>
    </r>
    <r>
      <rPr>
        <b/>
        <sz val="10"/>
        <color rgb="FF000000"/>
        <rFont val="Times New Roman"/>
        <family val="1"/>
      </rPr>
      <t xml:space="preserve">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</si>
  <si>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sz val="10"/>
        <color rgb="FF000000"/>
        <rFont val="Times New Roman"/>
        <family val="1"/>
      </rPr>
      <t xml:space="preserve"> </t>
    </r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</si>
  <si>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</si>
  <si>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</si>
  <si>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</si>
  <si>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</si>
  <si>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</si>
  <si>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</si>
  <si>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r>
      <t>Mode-only Models: r</t>
    </r>
    <r>
      <rPr>
        <b/>
        <vertAlign val="superscript"/>
        <sz val="16"/>
        <color theme="1"/>
        <rFont val="Arial"/>
        <family val="2"/>
      </rPr>
      <t>2</t>
    </r>
  </si>
  <si>
    <r>
      <t>Mode+Phon Models: r</t>
    </r>
    <r>
      <rPr>
        <b/>
        <vertAlign val="superscript"/>
        <sz val="16"/>
        <color theme="1"/>
        <rFont val="Arial"/>
        <family val="2"/>
      </rPr>
      <t>2</t>
    </r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</si>
  <si>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</si>
  <si>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</si>
  <si>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</si>
  <si>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</si>
  <si>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</si>
  <si>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</si>
  <si>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</si>
  <si>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</si>
  <si>
    <t>stdev</t>
  </si>
  <si>
    <t>mean</t>
  </si>
  <si>
    <t xml:space="preserve"> mean</t>
  </si>
  <si>
    <t>variance</t>
  </si>
  <si>
    <t>SD_diff</t>
  </si>
  <si>
    <t>var_diff</t>
  </si>
  <si>
    <t>SD diff</t>
  </si>
  <si>
    <t>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</si>
</sst>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vertAlign val="superscript"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280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0" xfId="0" applyNumberFormat="1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2" fontId="11" fillId="0" borderId="13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164" fontId="13" fillId="0" borderId="15" xfId="0" applyNumberFormat="1" applyFont="1" applyBorder="1" applyAlignment="1">
      <alignment horizontal="right" vertical="center" wrapText="1"/>
    </xf>
    <xf numFmtId="2" fontId="13" fillId="0" borderId="15" xfId="0" applyNumberFormat="1" applyFont="1" applyBorder="1" applyAlignment="1">
      <alignment horizontal="right" vertical="center" wrapText="1"/>
    </xf>
    <xf numFmtId="167" fontId="13" fillId="0" borderId="15" xfId="0" applyNumberFormat="1" applyFont="1" applyBorder="1" applyAlignment="1">
      <alignment horizontal="right" vertical="center" wrapText="1"/>
    </xf>
    <xf numFmtId="165" fontId="13" fillId="0" borderId="15" xfId="0" applyNumberFormat="1" applyFont="1" applyBorder="1" applyAlignment="1">
      <alignment horizontal="right" vertical="center" wrapText="1"/>
    </xf>
    <xf numFmtId="11" fontId="14" fillId="0" borderId="15" xfId="0" applyNumberFormat="1" applyFont="1" applyBorder="1" applyAlignment="1">
      <alignment horizontal="right" vertical="center" wrapText="1"/>
    </xf>
    <xf numFmtId="164" fontId="13" fillId="0" borderId="16" xfId="0" applyNumberFormat="1" applyFont="1" applyBorder="1" applyAlignment="1">
      <alignment horizontal="right" vertical="center" wrapText="1"/>
    </xf>
    <xf numFmtId="2" fontId="13" fillId="0" borderId="16" xfId="0" applyNumberFormat="1" applyFont="1" applyBorder="1" applyAlignment="1">
      <alignment horizontal="right" vertical="center" wrapText="1"/>
    </xf>
    <xf numFmtId="167" fontId="13" fillId="0" borderId="16" xfId="0" applyNumberFormat="1" applyFont="1" applyBorder="1" applyAlignment="1">
      <alignment horizontal="right" vertical="center" wrapText="1"/>
    </xf>
    <xf numFmtId="165" fontId="13" fillId="0" borderId="16" xfId="0" applyNumberFormat="1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1" fontId="13" fillId="0" borderId="16" xfId="0" applyNumberFormat="1" applyFont="1" applyBorder="1" applyAlignment="1">
      <alignment horizontal="right" vertical="center" wrapText="1"/>
    </xf>
    <xf numFmtId="166" fontId="13" fillId="0" borderId="16" xfId="0" applyNumberFormat="1" applyFont="1" applyBorder="1" applyAlignment="1">
      <alignment horizontal="right" vertical="center" wrapText="1"/>
    </xf>
    <xf numFmtId="167" fontId="15" fillId="0" borderId="15" xfId="0" applyNumberFormat="1" applyFont="1" applyBorder="1" applyAlignment="1">
      <alignment horizontal="right" vertical="center" wrapText="1"/>
    </xf>
    <xf numFmtId="167" fontId="15" fillId="0" borderId="16" xfId="0" applyNumberFormat="1" applyFont="1" applyBorder="1" applyAlignment="1">
      <alignment horizontal="right" vertical="center" wrapText="1"/>
    </xf>
    <xf numFmtId="166" fontId="15" fillId="0" borderId="16" xfId="0" applyNumberFormat="1" applyFont="1" applyBorder="1" applyAlignment="1">
      <alignment horizontal="right" vertical="center" wrapText="1"/>
    </xf>
    <xf numFmtId="166" fontId="15" fillId="0" borderId="15" xfId="0" applyNumberFormat="1" applyFont="1" applyBorder="1" applyAlignment="1">
      <alignment horizontal="right" vertical="center" wrapText="1"/>
    </xf>
    <xf numFmtId="2" fontId="11" fillId="0" borderId="9" xfId="0" applyNumberFormat="1" applyFont="1" applyFill="1" applyBorder="1" applyAlignment="1">
      <alignment horizontal="right" vertical="center" wrapText="1"/>
    </xf>
    <xf numFmtId="165" fontId="11" fillId="0" borderId="9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3" fillId="0" borderId="17" xfId="0" applyNumberFormat="1" applyFont="1" applyFill="1" applyBorder="1" applyAlignment="1">
      <alignment horizontal="right" vertical="center" wrapText="1"/>
    </xf>
    <xf numFmtId="2" fontId="13" fillId="0" borderId="17" xfId="0" applyNumberFormat="1" applyFont="1" applyFill="1" applyBorder="1" applyAlignment="1">
      <alignment horizontal="right" vertical="center" wrapText="1"/>
    </xf>
    <xf numFmtId="165" fontId="13" fillId="0" borderId="17" xfId="0" applyNumberFormat="1" applyFont="1" applyFill="1" applyBorder="1" applyAlignment="1">
      <alignment horizontal="right" vertical="center" wrapText="1"/>
    </xf>
    <xf numFmtId="11" fontId="14" fillId="0" borderId="17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Alignment="1">
      <alignment horizontal="right"/>
    </xf>
    <xf numFmtId="164" fontId="13" fillId="0" borderId="18" xfId="0" applyNumberFormat="1" applyFont="1" applyFill="1" applyBorder="1" applyAlignment="1">
      <alignment horizontal="right" vertical="center" wrapText="1"/>
    </xf>
    <xf numFmtId="2" fontId="13" fillId="0" borderId="18" xfId="0" applyNumberFormat="1" applyFont="1" applyFill="1" applyBorder="1" applyAlignment="1">
      <alignment horizontal="right" vertical="center" wrapText="1"/>
    </xf>
    <xf numFmtId="165" fontId="13" fillId="0" borderId="18" xfId="0" applyNumberFormat="1" applyFont="1" applyFill="1" applyBorder="1" applyAlignment="1">
      <alignment horizontal="right" vertical="center" wrapText="1"/>
    </xf>
    <xf numFmtId="11" fontId="14" fillId="0" borderId="18" xfId="0" applyNumberFormat="1" applyFont="1" applyFill="1" applyBorder="1" applyAlignment="1">
      <alignment horizontal="right" vertical="center" wrapText="1"/>
    </xf>
    <xf numFmtId="1" fontId="13" fillId="0" borderId="18" xfId="0" applyNumberFormat="1" applyFont="1" applyFill="1" applyBorder="1" applyAlignment="1">
      <alignment horizontal="right" vertical="center" wrapText="1"/>
    </xf>
    <xf numFmtId="1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11" fillId="0" borderId="9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4" fontId="11" fillId="0" borderId="9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center"/>
    </xf>
    <xf numFmtId="167" fontId="13" fillId="0" borderId="17" xfId="0" applyNumberFormat="1" applyFont="1" applyFill="1" applyBorder="1" applyAlignment="1">
      <alignment horizontal="right" vertical="center" wrapText="1"/>
    </xf>
    <xf numFmtId="167" fontId="13" fillId="0" borderId="18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1" fontId="14" fillId="0" borderId="0" xfId="0" applyNumberFormat="1" applyFont="1" applyAlignment="1">
      <alignment horizontal="right" vertical="center" wrapText="1"/>
    </xf>
    <xf numFmtId="2" fontId="13" fillId="0" borderId="6" xfId="0" applyNumberFormat="1" applyFont="1" applyBorder="1" applyAlignment="1">
      <alignment horizontal="right" vertical="center" wrapText="1"/>
    </xf>
    <xf numFmtId="1" fontId="13" fillId="0" borderId="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11" fontId="14" fillId="0" borderId="7" xfId="0" applyNumberFormat="1" applyFont="1" applyBorder="1" applyAlignment="1">
      <alignment horizontal="right" vertical="center" wrapText="1"/>
    </xf>
    <xf numFmtId="167" fontId="13" fillId="0" borderId="7" xfId="0" applyNumberFormat="1" applyFont="1" applyBorder="1" applyAlignment="1">
      <alignment horizontal="right" vertical="center" wrapText="1"/>
    </xf>
    <xf numFmtId="166" fontId="13" fillId="0" borderId="7" xfId="0" applyNumberFormat="1" applyFont="1" applyBorder="1" applyAlignment="1">
      <alignment horizontal="right" vertical="center" wrapText="1"/>
    </xf>
    <xf numFmtId="2" fontId="13" fillId="0" borderId="8" xfId="0" applyNumberFormat="1" applyFont="1" applyBorder="1" applyAlignment="1">
      <alignment horizontal="right" vertical="center" wrapText="1"/>
    </xf>
    <xf numFmtId="1" fontId="13" fillId="0" borderId="8" xfId="0" applyNumberFormat="1" applyFont="1" applyBorder="1" applyAlignment="1">
      <alignment horizontal="right" vertical="center" wrapText="1"/>
    </xf>
    <xf numFmtId="0" fontId="13" fillId="0" borderId="19" xfId="0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164" fontId="13" fillId="0" borderId="5" xfId="0" applyNumberFormat="1" applyFont="1" applyBorder="1" applyAlignment="1">
      <alignment horizontal="right" vertical="center" wrapText="1"/>
    </xf>
    <xf numFmtId="164" fontId="13" fillId="0" borderId="8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2" fontId="11" fillId="0" borderId="9" xfId="0" applyNumberFormat="1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1" fontId="19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9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2" fontId="22" fillId="0" borderId="5" xfId="0" applyNumberFormat="1" applyFont="1" applyBorder="1" applyAlignment="1">
      <alignment horizontal="right" vertical="center" wrapText="1"/>
    </xf>
    <xf numFmtId="11" fontId="23" fillId="0" borderId="12" xfId="0" applyNumberFormat="1" applyFont="1" applyBorder="1" applyAlignment="1">
      <alignment horizontal="right" vertical="center" wrapText="1"/>
    </xf>
    <xf numFmtId="166" fontId="22" fillId="0" borderId="12" xfId="0" applyNumberFormat="1" applyFont="1" applyBorder="1" applyAlignment="1">
      <alignment horizontal="right" vertical="center" wrapText="1"/>
    </xf>
    <xf numFmtId="164" fontId="22" fillId="0" borderId="5" xfId="0" applyNumberFormat="1" applyFont="1" applyBorder="1" applyAlignment="1">
      <alignment horizontal="right" vertical="center" wrapText="1"/>
    </xf>
    <xf numFmtId="2" fontId="22" fillId="0" borderId="6" xfId="0" applyNumberFormat="1" applyFont="1" applyBorder="1" applyAlignment="1">
      <alignment horizontal="right" vertical="center" wrapText="1"/>
    </xf>
    <xf numFmtId="11" fontId="23" fillId="0" borderId="11" xfId="0" applyNumberFormat="1" applyFont="1" applyBorder="1" applyAlignment="1">
      <alignment horizontal="right" vertical="center" wrapText="1"/>
    </xf>
    <xf numFmtId="166" fontId="22" fillId="0" borderId="11" xfId="0" applyNumberFormat="1" applyFont="1" applyBorder="1" applyAlignment="1">
      <alignment horizontal="right" vertical="center" wrapText="1"/>
    </xf>
    <xf numFmtId="164" fontId="22" fillId="0" borderId="6" xfId="0" applyNumberFormat="1" applyFont="1" applyBorder="1" applyAlignment="1">
      <alignment horizontal="right" vertical="center" wrapText="1"/>
    </xf>
    <xf numFmtId="2" fontId="22" fillId="0" borderId="21" xfId="0" applyNumberFormat="1" applyFont="1" applyBorder="1" applyAlignment="1">
      <alignment horizontal="right" vertical="center" wrapText="1"/>
    </xf>
    <xf numFmtId="11" fontId="23" fillId="0" borderId="21" xfId="0" applyNumberFormat="1" applyFont="1" applyBorder="1" applyAlignment="1">
      <alignment horizontal="right" vertical="center" wrapText="1"/>
    </xf>
    <xf numFmtId="166" fontId="22" fillId="0" borderId="21" xfId="0" applyNumberFormat="1" applyFont="1" applyBorder="1" applyAlignment="1">
      <alignment horizontal="right" vertical="center" wrapText="1"/>
    </xf>
    <xf numFmtId="164" fontId="22" fillId="0" borderId="21" xfId="0" applyNumberFormat="1" applyFont="1" applyBorder="1" applyAlignment="1">
      <alignment horizontal="right" vertical="center" wrapText="1"/>
    </xf>
    <xf numFmtId="2" fontId="24" fillId="0" borderId="21" xfId="0" applyNumberFormat="1" applyFont="1" applyBorder="1" applyAlignment="1">
      <alignment horizontal="right" vertical="center" wrapText="1"/>
    </xf>
    <xf numFmtId="165" fontId="24" fillId="0" borderId="21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4" fontId="26" fillId="0" borderId="0" xfId="0" applyNumberFormat="1" applyFont="1" applyAlignment="1">
      <alignment horizontal="right" vertical="center" wrapText="1"/>
    </xf>
    <xf numFmtId="164" fontId="26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right" vertical="center" wrapText="1"/>
    </xf>
    <xf numFmtId="164" fontId="28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 vertical="center"/>
    </xf>
    <xf numFmtId="0" fontId="21" fillId="0" borderId="0" xfId="0" applyFont="1"/>
    <xf numFmtId="2" fontId="22" fillId="0" borderId="12" xfId="0" applyNumberFormat="1" applyFont="1" applyBorder="1" applyAlignment="1">
      <alignment horizontal="right" vertical="center" wrapText="1"/>
    </xf>
    <xf numFmtId="2" fontId="22" fillId="0" borderId="11" xfId="0" applyNumberFormat="1" applyFont="1" applyBorder="1" applyAlignment="1">
      <alignment horizontal="right" vertical="center" wrapText="1"/>
    </xf>
    <xf numFmtId="9" fontId="22" fillId="0" borderId="21" xfId="1" applyFont="1" applyFill="1" applyBorder="1" applyAlignment="1">
      <alignment horizontal="right" vertical="center" wrapText="1"/>
    </xf>
    <xf numFmtId="2" fontId="11" fillId="0" borderId="10" xfId="0" applyNumberFormat="1" applyFont="1" applyBorder="1" applyAlignment="1">
      <alignment horizontal="right" vertical="center" wrapText="1"/>
    </xf>
    <xf numFmtId="2" fontId="34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2" fontId="35" fillId="0" borderId="0" xfId="0" applyNumberFormat="1" applyFont="1" applyAlignment="1">
      <alignment horizontal="center"/>
    </xf>
    <xf numFmtId="2" fontId="13" fillId="0" borderId="22" xfId="0" applyNumberFormat="1" applyFont="1" applyBorder="1" applyAlignment="1">
      <alignment horizontal="right" vertical="center" wrapText="1"/>
    </xf>
    <xf numFmtId="164" fontId="13" fillId="0" borderId="22" xfId="0" applyNumberFormat="1" applyFont="1" applyBorder="1" applyAlignment="1">
      <alignment horizontal="right" vertical="center" wrapText="1"/>
    </xf>
    <xf numFmtId="167" fontId="13" fillId="0" borderId="22" xfId="0" applyNumberFormat="1" applyFont="1" applyBorder="1" applyAlignment="1">
      <alignment horizontal="right" vertical="center" wrapText="1"/>
    </xf>
    <xf numFmtId="11" fontId="14" fillId="0" borderId="22" xfId="0" applyNumberFormat="1" applyFont="1" applyBorder="1" applyAlignment="1">
      <alignment horizontal="right" vertical="center" wrapText="1"/>
    </xf>
    <xf numFmtId="164" fontId="13" fillId="0" borderId="24" xfId="0" applyNumberFormat="1" applyFont="1" applyBorder="1" applyAlignment="1">
      <alignment horizontal="right" vertical="center" wrapText="1"/>
    </xf>
    <xf numFmtId="2" fontId="13" fillId="0" borderId="24" xfId="0" applyNumberFormat="1" applyFont="1" applyBorder="1" applyAlignment="1">
      <alignment horizontal="right" vertical="center" wrapText="1"/>
    </xf>
    <xf numFmtId="167" fontId="13" fillId="0" borderId="24" xfId="0" applyNumberFormat="1" applyFont="1" applyBorder="1" applyAlignment="1">
      <alignment horizontal="right" vertical="center" wrapText="1"/>
    </xf>
    <xf numFmtId="11" fontId="14" fillId="0" borderId="24" xfId="0" applyNumberFormat="1" applyFont="1" applyBorder="1" applyAlignment="1">
      <alignment horizontal="right" vertical="center" wrapText="1"/>
    </xf>
    <xf numFmtId="1" fontId="13" fillId="0" borderId="24" xfId="0" applyNumberFormat="1" applyFont="1" applyBorder="1" applyAlignment="1">
      <alignment horizontal="right" vertical="center" wrapText="1"/>
    </xf>
    <xf numFmtId="166" fontId="13" fillId="0" borderId="24" xfId="0" applyNumberFormat="1" applyFont="1" applyBorder="1" applyAlignment="1">
      <alignment horizontal="right" vertical="center" wrapText="1"/>
    </xf>
    <xf numFmtId="2" fontId="11" fillId="0" borderId="2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13" fillId="0" borderId="19" xfId="0" applyNumberFormat="1" applyFont="1" applyBorder="1" applyAlignment="1">
      <alignment horizontal="right" vertical="center" wrapText="1"/>
    </xf>
    <xf numFmtId="164" fontId="13" fillId="0" borderId="19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9" fillId="0" borderId="0" xfId="0" applyNumberFormat="1" applyFont="1" applyBorder="1" applyAlignment="1"/>
    <xf numFmtId="0" fontId="9" fillId="0" borderId="0" xfId="0" applyFont="1" applyBorder="1"/>
    <xf numFmtId="0" fontId="0" fillId="0" borderId="0" xfId="0" applyBorder="1"/>
    <xf numFmtId="0" fontId="13" fillId="0" borderId="0" xfId="0" applyFont="1" applyBorder="1" applyAlignment="1">
      <alignment horizontal="right" vertical="center" wrapText="1"/>
    </xf>
    <xf numFmtId="2" fontId="13" fillId="0" borderId="0" xfId="0" applyNumberFormat="1" applyFont="1" applyBorder="1" applyAlignment="1">
      <alignment horizontal="right" vertical="center" wrapText="1"/>
    </xf>
    <xf numFmtId="2" fontId="9" fillId="0" borderId="0" xfId="0" applyNumberFormat="1" applyFont="1" applyBorder="1"/>
    <xf numFmtId="2" fontId="9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vertical="center" wrapText="1"/>
    </xf>
    <xf numFmtId="2" fontId="9" fillId="0" borderId="0" xfId="0" applyNumberFormat="1" applyFont="1" applyFill="1" applyBorder="1"/>
    <xf numFmtId="2" fontId="10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164" fontId="13" fillId="0" borderId="7" xfId="0" applyNumberFormat="1" applyFont="1" applyBorder="1" applyAlignment="1">
      <alignment horizontal="right" vertical="center" wrapText="1"/>
    </xf>
    <xf numFmtId="2" fontId="13" fillId="0" borderId="7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center"/>
    </xf>
    <xf numFmtId="164" fontId="13" fillId="0" borderId="12" xfId="0" applyNumberFormat="1" applyFont="1" applyBorder="1" applyAlignment="1">
      <alignment horizontal="right" vertical="center" wrapText="1"/>
    </xf>
    <xf numFmtId="2" fontId="13" fillId="0" borderId="12" xfId="0" applyNumberFormat="1" applyFont="1" applyBorder="1" applyAlignment="1">
      <alignment horizontal="right" vertical="center" wrapText="1"/>
    </xf>
    <xf numFmtId="166" fontId="13" fillId="0" borderId="12" xfId="0" applyNumberFormat="1" applyFont="1" applyBorder="1" applyAlignment="1">
      <alignment horizontal="right" vertical="center" wrapText="1"/>
    </xf>
    <xf numFmtId="1" fontId="13" fillId="0" borderId="7" xfId="0" applyNumberFormat="1" applyFont="1" applyBorder="1" applyAlignment="1">
      <alignment horizontal="right" vertical="center" wrapText="1"/>
    </xf>
    <xf numFmtId="1" fontId="13" fillId="0" borderId="11" xfId="0" applyNumberFormat="1" applyFont="1" applyBorder="1" applyAlignment="1">
      <alignment horizontal="right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2" fontId="13" fillId="0" borderId="11" xfId="0" applyNumberFormat="1" applyFont="1" applyBorder="1" applyAlignment="1">
      <alignment horizontal="right" vertical="center" wrapText="1"/>
    </xf>
    <xf numFmtId="166" fontId="13" fillId="0" borderId="11" xfId="0" applyNumberFormat="1" applyFont="1" applyBorder="1" applyAlignment="1">
      <alignment horizontal="right" vertical="center" wrapText="1"/>
    </xf>
    <xf numFmtId="165" fontId="11" fillId="0" borderId="13" xfId="0" applyNumberFormat="1" applyFont="1" applyBorder="1" applyAlignment="1">
      <alignment horizontal="right" vertical="center" wrapText="1"/>
    </xf>
    <xf numFmtId="166" fontId="15" fillId="0" borderId="7" xfId="0" applyNumberFormat="1" applyFont="1" applyBorder="1" applyAlignment="1">
      <alignment horizontal="right" vertical="center" wrapText="1"/>
    </xf>
    <xf numFmtId="166" fontId="15" fillId="0" borderId="12" xfId="0" applyNumberFormat="1" applyFont="1" applyBorder="1" applyAlignment="1">
      <alignment horizontal="right" vertical="center" wrapText="1"/>
    </xf>
    <xf numFmtId="166" fontId="15" fillId="0" borderId="11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1" xfId="0" applyFont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164" fontId="13" fillId="0" borderId="8" xfId="0" applyNumberFormat="1" applyFont="1" applyFill="1" applyBorder="1" applyAlignment="1">
      <alignment horizontal="right" vertical="center" wrapText="1"/>
    </xf>
    <xf numFmtId="2" fontId="13" fillId="0" borderId="8" xfId="0" applyNumberFormat="1" applyFont="1" applyFill="1" applyBorder="1" applyAlignment="1">
      <alignment horizontal="right" vertical="center" wrapText="1"/>
    </xf>
    <xf numFmtId="166" fontId="13" fillId="0" borderId="7" xfId="0" applyNumberFormat="1" applyFont="1" applyFill="1" applyBorder="1" applyAlignment="1">
      <alignment horizontal="right" vertical="center" wrapText="1"/>
    </xf>
    <xf numFmtId="11" fontId="14" fillId="0" borderId="7" xfId="0" applyNumberFormat="1" applyFont="1" applyFill="1" applyBorder="1" applyAlignment="1">
      <alignment horizontal="right" vertical="center" wrapText="1"/>
    </xf>
    <xf numFmtId="164" fontId="13" fillId="0" borderId="5" xfId="0" applyNumberFormat="1" applyFont="1" applyFill="1" applyBorder="1" applyAlignment="1">
      <alignment horizontal="right" vertical="center" wrapText="1"/>
    </xf>
    <xf numFmtId="2" fontId="13" fillId="0" borderId="5" xfId="0" applyNumberFormat="1" applyFont="1" applyFill="1" applyBorder="1" applyAlignment="1">
      <alignment horizontal="right" vertical="center" wrapText="1"/>
    </xf>
    <xf numFmtId="165" fontId="13" fillId="0" borderId="7" xfId="0" applyNumberFormat="1" applyFont="1" applyFill="1" applyBorder="1" applyAlignment="1">
      <alignment horizontal="right" vertical="center" wrapText="1"/>
    </xf>
    <xf numFmtId="1" fontId="13" fillId="0" borderId="8" xfId="0" applyNumberFormat="1" applyFont="1" applyFill="1" applyBorder="1" applyAlignment="1">
      <alignment horizontal="right" vertical="center" wrapText="1"/>
    </xf>
    <xf numFmtId="1" fontId="13" fillId="0" borderId="6" xfId="0" applyNumberFormat="1" applyFont="1" applyFill="1" applyBorder="1" applyAlignment="1">
      <alignment horizontal="right" vertical="center" wrapText="1"/>
    </xf>
    <xf numFmtId="164" fontId="13" fillId="0" borderId="6" xfId="0" applyNumberFormat="1" applyFont="1" applyFill="1" applyBorder="1" applyAlignment="1">
      <alignment horizontal="right" vertical="center" wrapText="1"/>
    </xf>
    <xf numFmtId="2" fontId="13" fillId="0" borderId="6" xfId="0" applyNumberFormat="1" applyFont="1" applyFill="1" applyBorder="1" applyAlignment="1">
      <alignment horizontal="right" vertical="center" wrapText="1"/>
    </xf>
    <xf numFmtId="166" fontId="13" fillId="0" borderId="0" xfId="0" applyNumberFormat="1" applyFont="1" applyFill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167" fontId="13" fillId="0" borderId="7" xfId="0" applyNumberFormat="1" applyFont="1" applyFill="1" applyBorder="1" applyAlignment="1">
      <alignment horizontal="right" vertical="center" wrapText="1"/>
    </xf>
    <xf numFmtId="165" fontId="13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right" vertical="center" wrapText="1"/>
    </xf>
    <xf numFmtId="0" fontId="36" fillId="0" borderId="0" xfId="0" applyFont="1" applyAlignment="1">
      <alignment horizontal="left" vertical="center"/>
    </xf>
    <xf numFmtId="1" fontId="36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9" fontId="13" fillId="0" borderId="7" xfId="1" applyFont="1" applyBorder="1" applyAlignment="1">
      <alignment horizontal="right" vertical="center" wrapText="1"/>
    </xf>
    <xf numFmtId="9" fontId="13" fillId="0" borderId="12" xfId="1" applyFont="1" applyBorder="1" applyAlignment="1">
      <alignment horizontal="right" vertical="center" wrapText="1"/>
    </xf>
    <xf numFmtId="9" fontId="13" fillId="0" borderId="11" xfId="1" applyFont="1" applyBorder="1" applyAlignment="1">
      <alignment horizontal="right" vertical="center" wrapText="1"/>
    </xf>
    <xf numFmtId="9" fontId="13" fillId="0" borderId="15" xfId="1" applyFont="1" applyBorder="1" applyAlignment="1">
      <alignment horizontal="right" vertical="center" wrapText="1"/>
    </xf>
    <xf numFmtId="9" fontId="13" fillId="0" borderId="16" xfId="1" applyFont="1" applyBorder="1" applyAlignment="1">
      <alignment horizontal="right" vertical="center" wrapText="1"/>
    </xf>
    <xf numFmtId="9" fontId="13" fillId="0" borderId="23" xfId="1" applyFont="1" applyBorder="1" applyAlignment="1">
      <alignment horizontal="right" vertical="center" wrapText="1"/>
    </xf>
    <xf numFmtId="9" fontId="13" fillId="0" borderId="24" xfId="1" applyFont="1" applyBorder="1" applyAlignment="1">
      <alignment horizontal="right" vertical="center" wrapText="1"/>
    </xf>
    <xf numFmtId="2" fontId="38" fillId="0" borderId="0" xfId="0" applyNumberFormat="1" applyFont="1" applyBorder="1" applyAlignment="1">
      <alignment horizontal="left"/>
    </xf>
    <xf numFmtId="2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165" fontId="38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NumberFormat="1" applyFont="1" applyFill="1" applyAlignment="1">
      <alignment horizontal="center"/>
    </xf>
    <xf numFmtId="2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2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68" fontId="13" fillId="0" borderId="22" xfId="0" applyNumberFormat="1" applyFont="1" applyBorder="1" applyAlignment="1">
      <alignment horizontal="right" vertical="center" wrapText="1"/>
    </xf>
    <xf numFmtId="168" fontId="13" fillId="0" borderId="24" xfId="0" applyNumberFormat="1" applyFont="1" applyBorder="1" applyAlignment="1">
      <alignment horizontal="right" vertical="center" wrapText="1"/>
    </xf>
    <xf numFmtId="165" fontId="13" fillId="0" borderId="0" xfId="0" applyNumberFormat="1" applyFont="1" applyAlignment="1">
      <alignment horizontal="right" vertical="center" wrapText="1"/>
    </xf>
    <xf numFmtId="164" fontId="24" fillId="0" borderId="21" xfId="0" applyNumberFormat="1" applyFont="1" applyBorder="1" applyAlignment="1">
      <alignment horizontal="right" vertical="center" wrapText="1"/>
    </xf>
    <xf numFmtId="164" fontId="21" fillId="0" borderId="0" xfId="0" applyNumberFormat="1" applyFont="1" applyAlignment="1">
      <alignment horizontal="left" vertical="center"/>
    </xf>
    <xf numFmtId="2" fontId="21" fillId="0" borderId="0" xfId="0" applyNumberFormat="1" applyFont="1"/>
    <xf numFmtId="2" fontId="21" fillId="0" borderId="0" xfId="0" applyNumberFormat="1" applyFont="1" applyAlignment="1">
      <alignment horizontal="right" vertical="center"/>
    </xf>
    <xf numFmtId="0" fontId="38" fillId="0" borderId="0" xfId="0" applyFont="1" applyAlignment="1">
      <alignment horizontal="center" vertical="center"/>
    </xf>
    <xf numFmtId="2" fontId="38" fillId="0" borderId="14" xfId="0" applyNumberFormat="1" applyFont="1" applyBorder="1" applyAlignment="1">
      <alignment horizontal="center"/>
    </xf>
    <xf numFmtId="165" fontId="22" fillId="0" borderId="21" xfId="0" applyNumberFormat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337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66101"/>
      <color rgb="FFE7298A"/>
      <color rgb="FF1B9E77"/>
      <color rgb="FF7570B3"/>
      <color rgb="FFB5B0F3"/>
      <color rgb="FFF397C5"/>
      <color rgb="FF70C6AB"/>
      <color rgb="FFFE984C"/>
      <color rgb="FFFE9648"/>
      <color rgb="FFFEA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34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3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externalLink" Target="externalLinks/externalLink29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3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externalLink" Target="externalLinks/externalLink32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30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3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B0'!$F$59:$F$62</c:f>
                <c:numCache>
                  <c:formatCode>General</c:formatCode>
                  <c:ptCount val="4"/>
                  <c:pt idx="0">
                    <c:v>4.0375767490794061</c:v>
                  </c:pt>
                  <c:pt idx="1">
                    <c:v>4.0397423903875023</c:v>
                  </c:pt>
                  <c:pt idx="2">
                    <c:v>4.0433346255818918</c:v>
                  </c:pt>
                  <c:pt idx="3">
                    <c:v>4.0369562376811956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 RTH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plus>
            <c:min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 RTH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plus>
            <c:min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B0'!$B$27,'mode RTH B0'!$B$38)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 RTH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plus>
            <c:min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plus>
            <c:min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B1'!$B$10,'PA B1'!$B$15,'PA B1'!$B$20,'PA B1'!$B$25,'PA B1'!$B$30)</c:f>
              <c:numCache>
                <c:formatCode>0</c:formatCode>
                <c:ptCount val="6"/>
                <c:pt idx="0">
                  <c:v>13.842000000000001</c:v>
                </c:pt>
                <c:pt idx="1">
                  <c:v>-4.0629999999999997</c:v>
                </c:pt>
                <c:pt idx="2">
                  <c:v>-2.0190000000000001</c:v>
                </c:pt>
                <c:pt idx="3">
                  <c:v>-17.905000000000001</c:v>
                </c:pt>
                <c:pt idx="4">
                  <c:v>-15.861000000000001</c:v>
                </c:pt>
                <c:pt idx="5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plus>
            <c:min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B1'!$B$11,'PA B1'!$B$16,'PA B1'!$B$21,'PA B1'!$B$26,'PA B1'!$B$31)</c:f>
              <c:numCache>
                <c:formatCode>0</c:formatCode>
                <c:ptCount val="6"/>
                <c:pt idx="0">
                  <c:v>-49.881999999999998</c:v>
                </c:pt>
                <c:pt idx="1">
                  <c:v>-0.86099999999999999</c:v>
                </c:pt>
                <c:pt idx="2">
                  <c:v>-0.60599999999999998</c:v>
                </c:pt>
                <c:pt idx="3">
                  <c:v>49.021000000000001</c:v>
                </c:pt>
                <c:pt idx="4">
                  <c:v>49.276000000000003</c:v>
                </c:pt>
                <c:pt idx="5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plus>
            <c:min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B1'!$B$8,'PA B1'!$B$13,'PA B1'!$B$18,'PA B1'!$B$23,'PA B1'!$B$28)</c:f>
              <c:numCache>
                <c:formatCode>0.0</c:formatCode>
                <c:ptCount val="6"/>
                <c:pt idx="0">
                  <c:v>2.88</c:v>
                </c:pt>
                <c:pt idx="1">
                  <c:v>0.71599999999999997</c:v>
                </c:pt>
                <c:pt idx="2">
                  <c:v>2.7330000000000001</c:v>
                </c:pt>
                <c:pt idx="3">
                  <c:v>-2.1640000000000001</c:v>
                </c:pt>
                <c:pt idx="4">
                  <c:v>-0.14699999999999999</c:v>
                </c:pt>
                <c:pt idx="5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2.1498532078011601</c:v>
                  </c:pt>
                  <c:pt idx="1">
                    <c:v>0.85218636002813009</c:v>
                  </c:pt>
                  <c:pt idx="2">
                    <c:v>0.66520343336468013</c:v>
                  </c:pt>
                  <c:pt idx="3">
                    <c:v>2.2227330493135398</c:v>
                  </c:pt>
                  <c:pt idx="4">
                    <c:v>2.1184323165791703</c:v>
                  </c:pt>
                  <c:pt idx="5">
                    <c:v>0.84702072995003097</c:v>
                  </c:pt>
                </c:numCache>
              </c:numRef>
            </c:plus>
            <c:min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2.1498532078011601</c:v>
                  </c:pt>
                  <c:pt idx="1">
                    <c:v>0.85218636002813009</c:v>
                  </c:pt>
                  <c:pt idx="2">
                    <c:v>0.66520343336468013</c:v>
                  </c:pt>
                  <c:pt idx="3">
                    <c:v>2.2227330493135398</c:v>
                  </c:pt>
                  <c:pt idx="4">
                    <c:v>2.1184323165791703</c:v>
                  </c:pt>
                  <c:pt idx="5">
                    <c:v>0.84702072995003097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B1'!$B$9,'PA B1'!$B$14,'PA B1'!$B$19,'PA B1'!$B$24,'PA B1'!$B$29)</c:f>
              <c:numCache>
                <c:formatCode>0.0</c:formatCode>
                <c:ptCount val="6"/>
                <c:pt idx="0">
                  <c:v>-0.27300000000000002</c:v>
                </c:pt>
                <c:pt idx="1">
                  <c:v>3.577</c:v>
                </c:pt>
                <c:pt idx="2">
                  <c:v>3.5680000000000001</c:v>
                </c:pt>
                <c:pt idx="3">
                  <c:v>3.85</c:v>
                </c:pt>
                <c:pt idx="4">
                  <c:v>3.8410000000000002</c:v>
                </c:pt>
                <c:pt idx="5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plus>
            <c:min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B1'!$B$15,'PA B1'!$B$30)</c:f>
              <c:numCache>
                <c:formatCode>0</c:formatCode>
                <c:ptCount val="3"/>
                <c:pt idx="0">
                  <c:v>-4.0629999999999997</c:v>
                </c:pt>
                <c:pt idx="1">
                  <c:v>-2.0190000000000001</c:v>
                </c:pt>
                <c:pt idx="2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0.85218636002813009</c:v>
                  </c:pt>
                  <c:pt idx="1">
                    <c:v>0.66520343336468013</c:v>
                  </c:pt>
                  <c:pt idx="2">
                    <c:v>0.84702072995003097</c:v>
                  </c:pt>
                </c:numCache>
              </c:numRef>
            </c:plus>
            <c:min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0.85218636002813009</c:v>
                  </c:pt>
                  <c:pt idx="1">
                    <c:v>0.66520343336468013</c:v>
                  </c:pt>
                  <c:pt idx="2">
                    <c:v>0.84702072995003097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B1'!$B$14,'PA B1'!$B$29)</c:f>
              <c:numCache>
                <c:formatCode>0.0</c:formatCode>
                <c:ptCount val="3"/>
                <c:pt idx="0">
                  <c:v>3.577</c:v>
                </c:pt>
                <c:pt idx="1">
                  <c:v>3.5680000000000001</c:v>
                </c:pt>
                <c:pt idx="2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plus>
            <c:min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B1'!$B$8,'PA B1'!$B$13,'PA B1'!$B$28)</c:f>
              <c:numCache>
                <c:formatCode>0.0</c:formatCode>
                <c:ptCount val="3"/>
                <c:pt idx="0">
                  <c:v>0.71599999999999997</c:v>
                </c:pt>
                <c:pt idx="1">
                  <c:v>2.7330000000000001</c:v>
                </c:pt>
                <c:pt idx="2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plus>
            <c:min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B1'!$B$16,'PA B1'!$B$31)</c:f>
              <c:numCache>
                <c:formatCode>0</c:formatCode>
                <c:ptCount val="3"/>
                <c:pt idx="0">
                  <c:v>-0.86099999999999999</c:v>
                </c:pt>
                <c:pt idx="1">
                  <c:v>-0.60599999999999998</c:v>
                </c:pt>
                <c:pt idx="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</a:t>
            </a:r>
            <a:r>
              <a:rPr lang="en-IE" sz="1000" baseline="0"/>
              <a:t> </a:t>
            </a:r>
            <a:r>
              <a:rPr lang="en-IE" sz="1000" i="1" baseline="0"/>
              <a:t>f</a:t>
            </a:r>
            <a:r>
              <a:rPr lang="en-IE" sz="1000" i="0" baseline="-25000"/>
              <a:t>0</a:t>
            </a:r>
            <a:r>
              <a:rPr lang="en-IE" sz="1000" i="0" baseline="0"/>
              <a:t> compared</a:t>
            </a:r>
            <a:endParaRPr lang="en-IE" sz="100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6-48CA-BA6D-07F60AF5CD79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8CA-BA6D-07F60AF5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4D2C-98D5-D9301FD9B965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8-4D2C-98D5-D9301FD9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L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133-A708-3505C3928508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4133-A708-3505C39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H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CE-4492-96AC-993B9C4E4D5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4492-96AC-993B9C4E4D59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E-4492-96AC-993B9C4E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5BC8-4DC7-81C1-6A06D4D91282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8-4DC7-81C1-6A06D4D91282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8-4DC7-81C1-6A06D4D91282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8-4DC7-81C1-6A06D4D91282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8-4DC7-81C1-6A06D4D9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5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B1'!$B$4,'mode B1'!$B$19,'mode B1'!$B$9,'mode B1'!$B$29,'mode B1'!$B$24,'mode B1'!$B$14)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BC0-9ABF-3262E7AD8D95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B1'!$B$4,'mode RTH B1'!$B$19,'mode RTH B1'!$B$9,'mode RTH B1'!$B$29,'mode RTH B1'!$B$24,'mode RTH B1'!$B$14)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F-4BC0-9ABF-3262E7AD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Mean f0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no phon</c:v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E2-40CA-84D2-1B0EA3091EC5}"/>
            </c:ext>
          </c:extLst>
        </c:ser>
        <c:ser>
          <c:idx val="1"/>
          <c:order val="1"/>
          <c:tx>
            <c:v>full phon</c:v>
          </c:tx>
          <c:spPr>
            <a:solidFill>
              <a:srgbClr val="E66101"/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E2-40CA-84D2-1B0EA3091EC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E2-40CA-84D2-1B0EA3091EC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E2-40CA-84D2-1B0EA3091EC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2-40CA-84D2-1B0EA30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 phon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9-4C88-84A1-EB4307C296C6}"/>
              </c:ext>
            </c:extLst>
          </c:dPt>
          <c:dPt>
            <c:idx val="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9-4C88-84A1-EB4307C296C6}"/>
              </c:ext>
            </c:extLst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9-4C88-84A1-EB4307C296C6}"/>
              </c:ext>
            </c:extLst>
          </c:dPt>
          <c:dPt>
            <c:idx val="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99-4C88-84A1-EB4307C296C6}"/>
            </c:ext>
          </c:extLst>
        </c:ser>
        <c:ser>
          <c:idx val="1"/>
          <c:order val="1"/>
          <c:tx>
            <c:v>full phon</c:v>
          </c:tx>
          <c:spPr>
            <a:ln w="9525">
              <a:noFill/>
            </a:ln>
          </c:spPr>
          <c:marker>
            <c:symbol val="square"/>
            <c:size val="8"/>
            <c:spPr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99-4C88-84A1-EB4307C296C6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99-4C88-84A1-EB4307C296C6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99-4C88-84A1-EB4307C296C6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E66101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99-4C88-84A1-EB4307C2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phon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324-AFEC-F37371DAFA7E}"/>
            </c:ext>
          </c:extLst>
        </c:ser>
        <c:ser>
          <c:idx val="1"/>
          <c:order val="1"/>
          <c:tx>
            <c:v>full phon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8"/>
            <c:spPr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ln w="19050">
                <a:solidFill>
                  <a:srgbClr val="E66101">
                    <a:alpha val="70000"/>
                  </a:srgb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324-AFEC-F37371D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 phon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03-404E-832B-4AC3696B51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903-404E-832B-4AC3696B51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903-404E-832B-4AC3696B51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903-404E-832B-4AC3696B51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903-404E-832B-4AC3696B51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903-404E-832B-4AC3696B518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3-404E-832B-4AC3696B5181}"/>
            </c:ext>
          </c:extLst>
        </c:ser>
        <c:ser>
          <c:idx val="1"/>
          <c:order val="1"/>
          <c:tx>
            <c:v>full 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ln w="19050">
                <a:solidFill>
                  <a:srgbClr val="E66101">
                    <a:alpha val="80000"/>
                  </a:srgb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3-404E-832B-4AC3696B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1-4B73-ADBD-6D743ED91585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91-4B73-ADBD-6D743ED91585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91-4B73-ADBD-6D743ED91585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91-4B73-ADBD-6D743ED91585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7BBABD72-D5EE-43BE-AE68-B24DA6CD7E2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791-4B73-ADBD-6D743ED91585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FDB94F2F-305D-4484-82FA-CC52684BA95C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91-4B73-ADBD-6D743ED91585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2C782E8D-2A28-44B1-8C90-4A8F0EF5461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91-4B73-ADBD-6D743ED91585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54F972EC-F2B3-485D-94C0-B076A5B3815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91-4B73-ADBD-6D743ED91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('Utt B0'!$B$3,'Utt B0'!$B$4,'Utt B0'!$B$5,'Utt B0'!$B$6)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xVal>
          <c:yVal>
            <c:numRef>
              <c:f>('Utt B0'!$B$11,'Utt B0'!$B$12,'Utt B0'!$B$13,'Utt B0'!$B$14)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791-4B73-ADBD-6D743ED91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At val="-6"/>
        <c:crossBetween val="midCat"/>
        <c:majorUnit val="2"/>
        <c:minorUnit val="0.5"/>
      </c:valAx>
      <c:valAx>
        <c:axId val="386213872"/>
        <c:scaling>
          <c:orientation val="minMax"/>
          <c:max val="9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3-40F6-B3EE-1FF288A0B5C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73-40F6-B3EE-1FF288A0B5C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3-40F6-B3EE-1FF288A0B5C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73-40F6-B3EE-1FF288A0B5C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73-40F6-B3EE-1FF288A0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slope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02-49CA-AC37-C26E3BC78FC3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02-49CA-AC37-C26E3BC78FC3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02-49CA-AC37-C26E3BC78FC3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02-49CA-AC37-C26E3BC78FC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02-49CA-AC37-C26E3BC7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09F-B750-8021706B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slope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>
              <a:noFill/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9C-4BAF-9DF5-0788DA3E6CB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B9C-4BAF-9DF5-0788DA3E6CB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B9C-4BAF-9DF5-0788DA3E6CB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B9C-4BAF-9DF5-0788DA3E6CB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B9C-4BAF-9DF5-0788DA3E6CB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B9C-4BAF-9DF5-0788DA3E6CB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ln w="19050">
                <a:solidFill>
                  <a:schemeClr val="tx1">
                    <a:alpha val="80000"/>
                  </a:scheme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C-4107-80B9-6F600231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B0'!$B$27,'mode RTH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B0'!$B$49,'mode RTH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B0'!$B$25,'mode B0'!$B$31)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B0'!$B$38,'mode B0'!$B$44)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B0'!$B$26,'mode B0'!$B$32)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B0'!$B$39,'mode B0'!$B$45)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B0'!$B$27,'mode B0'!$B$33)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B0'!$B$40,'mode B0'!$B$46)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B0'!$B$28,'mode B0'!$B$34)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B0'!$B$41,'mode B0'!$B$47)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66507290022894"/>
          <c:y val="0.184008665139887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333919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135975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323914</xdr:colOff>
      <xdr:row>23</xdr:row>
      <xdr:rowOff>112320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12</xdr:row>
      <xdr:rowOff>0</xdr:rowOff>
    </xdr:from>
    <xdr:to>
      <xdr:col>17</xdr:col>
      <xdr:colOff>72021</xdr:colOff>
      <xdr:row>23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441152</xdr:colOff>
      <xdr:row>37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323674</xdr:colOff>
      <xdr:row>11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140458</xdr:colOff>
      <xdr:row>11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12</xdr:row>
      <xdr:rowOff>0</xdr:rowOff>
    </xdr:from>
    <xdr:to>
      <xdr:col>17</xdr:col>
      <xdr:colOff>299021</xdr:colOff>
      <xdr:row>23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10</xdr:col>
      <xdr:colOff>323113</xdr:colOff>
      <xdr:row>23</xdr:row>
      <xdr:rowOff>121845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441600</xdr:colOff>
      <xdr:row>37</xdr:row>
      <xdr:rowOff>22500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342900</xdr:colOff>
      <xdr:row>18</xdr:row>
      <xdr:rowOff>21171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DF634-FE28-4A57-9C31-4D147D97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421334</xdr:colOff>
      <xdr:row>0</xdr:row>
      <xdr:rowOff>0</xdr:rowOff>
    </xdr:from>
    <xdr:to>
      <xdr:col>14</xdr:col>
      <xdr:colOff>538516</xdr:colOff>
      <xdr:row>18</xdr:row>
      <xdr:rowOff>21171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C04E9-BB8D-48C4-9E71-C81E07C6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71719</xdr:colOff>
      <xdr:row>37</xdr:row>
      <xdr:rowOff>19906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3CB2E1-B4C3-408B-AF42-07476E948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188257</xdr:colOff>
      <xdr:row>19</xdr:row>
      <xdr:rowOff>0</xdr:rowOff>
    </xdr:from>
    <xdr:to>
      <xdr:col>12</xdr:col>
      <xdr:colOff>259976</xdr:colOff>
      <xdr:row>37</xdr:row>
      <xdr:rowOff>19906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B9994D-3E1E-40F3-AE18-7EF69E25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32657</xdr:colOff>
      <xdr:row>0</xdr:row>
      <xdr:rowOff>0</xdr:rowOff>
    </xdr:from>
    <xdr:to>
      <xdr:col>25</xdr:col>
      <xdr:colOff>229881</xdr:colOff>
      <xdr:row>26</xdr:row>
      <xdr:rowOff>35858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1D7931-6E93-43E9-8949-CA8E3621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160020</xdr:colOff>
      <xdr:row>45</xdr:row>
      <xdr:rowOff>156000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8834C8-BBF8-4823-985B-711AB0E55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585270</xdr:colOff>
      <xdr:row>1</xdr:row>
      <xdr:rowOff>0</xdr:rowOff>
    </xdr:from>
    <xdr:to>
      <xdr:col>18</xdr:col>
      <xdr:colOff>529644</xdr:colOff>
      <xdr:row>6</xdr:row>
      <xdr:rowOff>198517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585270</xdr:colOff>
      <xdr:row>11</xdr:row>
      <xdr:rowOff>0</xdr:rowOff>
    </xdr:from>
    <xdr:to>
      <xdr:col>18</xdr:col>
      <xdr:colOff>529644</xdr:colOff>
      <xdr:row>16</xdr:row>
      <xdr:rowOff>198517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445319</xdr:colOff>
      <xdr:row>16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610715</xdr:colOff>
      <xdr:row>17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21C6-E81B-4F09-B4A1-8E660604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4</xdr:col>
      <xdr:colOff>610714</xdr:colOff>
      <xdr:row>36</xdr:row>
      <xdr:rowOff>181500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7B50F4-B9CA-4068-8BAB-DAF9991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354244</xdr:colOff>
      <xdr:row>17</xdr:row>
      <xdr:rowOff>181500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97C026-E632-481F-92AE-05826F41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11</xdr:col>
      <xdr:colOff>354244</xdr:colOff>
      <xdr:row>36</xdr:row>
      <xdr:rowOff>139194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00D24D-EEBB-441A-A632-1307B18E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39</xdr:row>
      <xdr:rowOff>0</xdr:rowOff>
    </xdr:from>
    <xdr:to>
      <xdr:col>11</xdr:col>
      <xdr:colOff>430715</xdr:colOff>
      <xdr:row>54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9DC1B7-A656-4C27-8FD4-8B7B42E1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5598</xdr:colOff>
      <xdr:row>17</xdr:row>
      <xdr:rowOff>181500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A542F1-8547-49F6-951A-8F3AE035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5597</xdr:colOff>
      <xdr:row>36</xdr:row>
      <xdr:rowOff>181500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172451-6F41-400A-B663-E10AF2BE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354244</xdr:colOff>
      <xdr:row>17</xdr:row>
      <xdr:rowOff>181500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E5104C-E937-428C-A4B1-F20B4F97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23</xdr:col>
      <xdr:colOff>354244</xdr:colOff>
      <xdr:row>36</xdr:row>
      <xdr:rowOff>139194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6FB5C1-FF3C-4AD4-B466-67062E9FB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r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r2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0.10199999999999999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2.7000000000000001E-13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2.0000000000000001E-61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2.4E-8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8.6999999999999994E-53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0.92800000000000005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0.34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3.5E-20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0.246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7.8000000000000001E-21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4.3000000000000002E-17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0.93799999999999994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0.51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6.8999999999999996E-7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0.57999999999999996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1.1999999999999999E-6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1.5999999999999999E-5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2.6E-18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6.3999999999999999E-15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7.2000000000000002E-15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86.123043762318801</v>
          </cell>
          <cell r="D2">
            <v>94.197953690226399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86.540423250920597</v>
          </cell>
          <cell r="D3">
            <v>94.615525934098201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87.250257609612504</v>
          </cell>
          <cell r="D4">
            <v>95.329182144316803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88.416665374418102</v>
          </cell>
          <cell r="D5">
            <v>96.504310766312699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8.7999999999999999E-13</v>
          </cell>
          <cell r="J5" t="str">
            <v>p&lt;0.0001</v>
          </cell>
        </row>
        <row r="6">
          <cell r="B6">
            <v>90.16</v>
          </cell>
          <cell r="C6">
            <v>86.123043762318801</v>
          </cell>
          <cell r="D6">
            <v>94.197953690226399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85.459720294364303</v>
          </cell>
          <cell r="D7">
            <v>94.315126046853607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5.8E-18</v>
          </cell>
          <cell r="J7" t="str">
            <v>p&lt;0.0001</v>
          </cell>
        </row>
        <row r="8">
          <cell r="B8">
            <v>93.736999999999995</v>
          </cell>
          <cell r="C8">
            <v>89.644799114240996</v>
          </cell>
          <cell r="D8">
            <v>97.829742285346597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89.656987791724603</v>
          </cell>
          <cell r="D9">
            <v>97.800438498133602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2.2999999999999998E-13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0.90843440204111703</v>
          </cell>
        </row>
        <row r="3">
          <cell r="B3">
            <v>0.11904129817262001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2.8E-5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2.8E-5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2.3E-5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5.2999999999999998E-4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2.8E-5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2.8E-5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5.2999999999999998E-4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5.2999999999999998E-4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5.2999999999999998E-4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6.4000000000000005E-4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5.2999999999999998E-4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4.0000000000000002E-4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4.6999999999999999E-4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5.1000000000000004E-4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0.61599999999999999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3.2000000000000002E-14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1.5E-5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0.58799999999999997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3.8999999999999999E-4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3.5000000000000003E-2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1.9000000000000001E-26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0.92800000000000005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1.5E-10</v>
          </cell>
          <cell r="K13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3.2769822598991402E-2</v>
          </cell>
          <cell r="E2">
            <v>0.80218190937686995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5.1999999999999998E-2</v>
          </cell>
        </row>
        <row r="3">
          <cell r="C3">
            <v>1.129</v>
          </cell>
          <cell r="D3">
            <v>0.70325590722223796</v>
          </cell>
          <cell r="E3">
            <v>1.5551863947656099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9.9999999999999995E-7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1.7262072036284699</v>
          </cell>
          <cell r="E4">
            <v>2.87377148473445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1E-13</v>
          </cell>
          <cell r="K4" t="str">
            <v>p&lt;0.0001</v>
          </cell>
        </row>
        <row r="5">
          <cell r="C5">
            <v>0.71199999999999997</v>
          </cell>
          <cell r="D5">
            <v>0.28494370098336003</v>
          </cell>
          <cell r="E5">
            <v>1.1385468689305001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1.3076358441581</v>
          </cell>
          <cell r="E6">
            <v>2.4573911118231799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0.57785820696894397</v>
          </cell>
          <cell r="E7">
            <v>1.7636781799102601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3.8000000000000002E-4</v>
          </cell>
          <cell r="K7" t="str">
            <v>p&lt;0.001</v>
          </cell>
        </row>
        <row r="8">
          <cell r="C8">
            <v>-0.27300000000000002</v>
          </cell>
          <cell r="D8">
            <v>-2.4228532078011602</v>
          </cell>
          <cell r="E8">
            <v>1.87670209698594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0.90600000000000003</v>
          </cell>
        </row>
        <row r="9">
          <cell r="C9">
            <v>3.577</v>
          </cell>
          <cell r="D9">
            <v>2.7248136399718699</v>
          </cell>
          <cell r="E9">
            <v>4.4287303056152298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7.4999999999999996E-15</v>
          </cell>
          <cell r="K9" t="str">
            <v>p&lt;0.0001</v>
          </cell>
        </row>
        <row r="10">
          <cell r="C10">
            <v>3.5680000000000001</v>
          </cell>
          <cell r="D10">
            <v>2.9027965666353199</v>
          </cell>
          <cell r="E10">
            <v>4.2336322711520298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8.4999999999999996E-23</v>
          </cell>
          <cell r="K10" t="str">
            <v>p&lt;0.0001</v>
          </cell>
        </row>
        <row r="11">
          <cell r="C11">
            <v>3.85</v>
          </cell>
          <cell r="D11">
            <v>1.6272669506864601</v>
          </cell>
          <cell r="E11">
            <v>6.0724281061155496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2E-3</v>
          </cell>
          <cell r="K11" t="str">
            <v>p&lt;0.01</v>
          </cell>
        </row>
        <row r="12">
          <cell r="C12">
            <v>3.8410000000000002</v>
          </cell>
          <cell r="D12">
            <v>1.7225676834208301</v>
          </cell>
          <cell r="E12">
            <v>5.9600122655439902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1E-3</v>
          </cell>
          <cell r="K12" t="str">
            <v>p&lt;0.01</v>
          </cell>
        </row>
        <row r="13">
          <cell r="C13">
            <v>-8.9999999999999993E-3</v>
          </cell>
          <cell r="D13">
            <v>-0.85602072995003098</v>
          </cell>
          <cell r="E13">
            <v>0.83890562248414102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0.93799999999999994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0.44500000000000001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3.7000000000000001E-11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0.53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0.28000000000000003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0.45100000000000001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0.64600000000000002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0.17100000000000001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0.20499999999999999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0.72799999999999998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0.93799999999999994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8.0000000000000004E-4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0.93799999999999994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0.93799999999999994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0.93799999999999994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86.081999999999994</v>
          </cell>
          <cell r="C2">
            <v>82.704753311215896</v>
          </cell>
          <cell r="D2">
            <v>89.458859824459097</v>
          </cell>
          <cell r="E2">
            <v>1.516</v>
          </cell>
          <cell r="F2">
            <v>56.783999999999999</v>
          </cell>
          <cell r="G2">
            <v>10.02</v>
          </cell>
          <cell r="H2">
            <v>6.7000000000000005E-14</v>
          </cell>
          <cell r="I2">
            <v>2.0000000000000001E-13</v>
          </cell>
          <cell r="J2" t="str">
            <v>p&lt;0.0001</v>
          </cell>
        </row>
        <row r="3">
          <cell r="B3">
            <v>86.552999999999997</v>
          </cell>
          <cell r="C3">
            <v>83.538668846366306</v>
          </cell>
          <cell r="D3">
            <v>89.566762015229898</v>
          </cell>
          <cell r="E3">
            <v>1.353</v>
          </cell>
          <cell r="F3">
            <v>63.969000000000001</v>
          </cell>
          <cell r="G3">
            <v>10.02</v>
          </cell>
          <cell r="H3">
            <v>2E-14</v>
          </cell>
          <cell r="I3">
            <v>7.1E-14</v>
          </cell>
          <cell r="J3" t="str">
            <v>p&lt;0.0001</v>
          </cell>
        </row>
        <row r="4">
          <cell r="B4">
            <v>86.841999999999999</v>
          </cell>
          <cell r="C4">
            <v>83.750994120829404</v>
          </cell>
          <cell r="D4">
            <v>89.933069912578006</v>
          </cell>
          <cell r="E4">
            <v>1.3879999999999999</v>
          </cell>
          <cell r="F4">
            <v>62.584000000000003</v>
          </cell>
          <cell r="G4">
            <v>10.02</v>
          </cell>
          <cell r="H4">
            <v>2.5000000000000001E-14</v>
          </cell>
          <cell r="I4">
            <v>8.3999999999999995E-14</v>
          </cell>
          <cell r="J4" t="str">
            <v>p&lt;0.0001</v>
          </cell>
        </row>
        <row r="5">
          <cell r="B5">
            <v>88.319000000000003</v>
          </cell>
          <cell r="C5">
            <v>84.789342645645803</v>
          </cell>
          <cell r="D5">
            <v>91.847688325108507</v>
          </cell>
          <cell r="E5">
            <v>1.5840000000000001</v>
          </cell>
          <cell r="F5">
            <v>55.750999999999998</v>
          </cell>
          <cell r="G5">
            <v>10.01</v>
          </cell>
          <cell r="H5">
            <v>8.0999999999999996E-14</v>
          </cell>
          <cell r="I5">
            <v>2.2999999999999998E-13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0.95251205799762395</v>
          </cell>
        </row>
        <row r="3">
          <cell r="B3">
            <v>2.6630692365991401E-2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0.58599999999999997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9.6000000000000002E-4</v>
          </cell>
          <cell r="J4" t="str">
            <v>p&lt;0.001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2.2000000000000001E-4</v>
          </cell>
          <cell r="J5" t="str">
            <v>p&lt;0.001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86.102999999999994</v>
          </cell>
          <cell r="C2">
            <v>82.689550235795807</v>
          </cell>
          <cell r="D2">
            <v>89.517098450922404</v>
          </cell>
          <cell r="E2">
            <v>1.5549999999999999</v>
          </cell>
          <cell r="F2">
            <v>55.389000000000003</v>
          </cell>
          <cell r="G2">
            <v>11.21</v>
          </cell>
          <cell r="H2">
            <v>5E-15</v>
          </cell>
          <cell r="I2">
            <v>2.3999999999999999E-14</v>
          </cell>
          <cell r="J2" t="str">
            <v>p&lt;0.0001</v>
          </cell>
        </row>
        <row r="3">
          <cell r="B3">
            <v>86.563000000000002</v>
          </cell>
          <cell r="C3">
            <v>83.483536238419006</v>
          </cell>
          <cell r="D3">
            <v>89.641733582444701</v>
          </cell>
          <cell r="E3">
            <v>1.4059999999999999</v>
          </cell>
          <cell r="F3">
            <v>61.561999999999998</v>
          </cell>
          <cell r="G3">
            <v>11.48</v>
          </cell>
          <cell r="H3">
            <v>7.9000000000000002E-16</v>
          </cell>
          <cell r="I3">
            <v>1E-14</v>
          </cell>
          <cell r="J3" t="str">
            <v>p&lt;0.0001</v>
          </cell>
        </row>
        <row r="4">
          <cell r="B4">
            <v>86.697000000000003</v>
          </cell>
          <cell r="C4">
            <v>83.475080756363994</v>
          </cell>
          <cell r="D4">
            <v>89.918034602516897</v>
          </cell>
          <cell r="E4">
            <v>1.468</v>
          </cell>
          <cell r="F4">
            <v>59.069000000000003</v>
          </cell>
          <cell r="G4">
            <v>11.26</v>
          </cell>
          <cell r="H4">
            <v>2.1999999999999999E-15</v>
          </cell>
          <cell r="I4">
            <v>1.3E-14</v>
          </cell>
          <cell r="J4" t="str">
            <v>p&lt;0.0001</v>
          </cell>
        </row>
        <row r="5">
          <cell r="B5">
            <v>87.991</v>
          </cell>
          <cell r="C5">
            <v>84.373204423542006</v>
          </cell>
          <cell r="D5">
            <v>91.609749457138307</v>
          </cell>
          <cell r="E5">
            <v>1.6439999999999999</v>
          </cell>
          <cell r="F5">
            <v>53.527999999999999</v>
          </cell>
          <cell r="G5">
            <v>11</v>
          </cell>
          <cell r="H5">
            <v>1.1999999999999999E-14</v>
          </cell>
          <cell r="I5">
            <v>4.4999999999999998E-14</v>
          </cell>
          <cell r="J5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r2"/>
    </sheetNames>
    <sheetDataSet>
      <sheetData sheetId="0">
        <row r="2">
          <cell r="B2">
            <v>0.95092036274743896</v>
          </cell>
        </row>
        <row r="3">
          <cell r="B3">
            <v>1.8544092869285801E-2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-2.3959999999999999</v>
          </cell>
          <cell r="C2">
            <v>-6.9765219034267698</v>
          </cell>
          <cell r="D2">
            <v>2.1849617930567602</v>
          </cell>
          <cell r="E2">
            <v>1.9910000000000001</v>
          </cell>
          <cell r="F2">
            <v>-1.2030000000000001</v>
          </cell>
          <cell r="G2">
            <v>8.11</v>
          </cell>
          <cell r="H2">
            <v>0.26300000000000001</v>
          </cell>
          <cell r="I2">
            <v>0.27100000000000002</v>
          </cell>
        </row>
        <row r="3">
          <cell r="B3">
            <v>-4.5419999999999998</v>
          </cell>
          <cell r="C3">
            <v>-9.2175803670468905</v>
          </cell>
          <cell r="D3">
            <v>0.133573084832663</v>
          </cell>
          <cell r="E3">
            <v>2.0840000000000001</v>
          </cell>
          <cell r="F3">
            <v>-2.1789999999999998</v>
          </cell>
          <cell r="G3">
            <v>9.5299999999999994</v>
          </cell>
          <cell r="H3">
            <v>5.6000000000000001E-2</v>
          </cell>
          <cell r="I3">
            <v>5.8999999999999997E-2</v>
          </cell>
        </row>
        <row r="4">
          <cell r="B4">
            <v>0.55700000000000005</v>
          </cell>
          <cell r="C4">
            <v>-4.0108667936125304</v>
          </cell>
          <cell r="D4">
            <v>5.1251249075484697</v>
          </cell>
          <cell r="E4">
            <v>1.9710000000000001</v>
          </cell>
          <cell r="F4">
            <v>0.28299999999999997</v>
          </cell>
          <cell r="G4">
            <v>7.79</v>
          </cell>
          <cell r="H4">
            <v>0.78500000000000003</v>
          </cell>
          <cell r="I4">
            <v>0.78500000000000003</v>
          </cell>
        </row>
        <row r="5">
          <cell r="B5">
            <v>2.8029999999999999</v>
          </cell>
          <cell r="C5">
            <v>-1.88741630963287</v>
          </cell>
          <cell r="D5">
            <v>7.4924614157353098</v>
          </cell>
          <cell r="E5">
            <v>2.093</v>
          </cell>
          <cell r="F5">
            <v>1.339</v>
          </cell>
          <cell r="G5">
            <v>9.59</v>
          </cell>
          <cell r="H5">
            <v>0.21099999999999999</v>
          </cell>
          <cell r="I5">
            <v>0.222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r2"/>
    </sheetNames>
    <sheetDataSet>
      <sheetData sheetId="0">
        <row r="2">
          <cell r="B2">
            <v>0.90924598576144</v>
          </cell>
        </row>
        <row r="3">
          <cell r="B3">
            <v>0.21507796859329401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0.47099999999999997</v>
          </cell>
          <cell r="D2">
            <v>-0.22015365295248701</v>
          </cell>
          <cell r="E2">
            <v>1.1619712718434301</v>
          </cell>
          <cell r="F2">
            <v>0.31</v>
          </cell>
          <cell r="G2">
            <v>1.5169999999999999</v>
          </cell>
          <cell r="H2">
            <v>10.06</v>
          </cell>
          <cell r="I2">
            <v>0.16</v>
          </cell>
          <cell r="J2">
            <v>0.22600000000000001</v>
          </cell>
        </row>
        <row r="3">
          <cell r="C3">
            <v>0.76</v>
          </cell>
          <cell r="D3">
            <v>0.20624707042249599</v>
          </cell>
          <cell r="E3">
            <v>1.3142037452130699</v>
          </cell>
          <cell r="F3">
            <v>0.249</v>
          </cell>
          <cell r="G3">
            <v>3.0550000000000002</v>
          </cell>
          <cell r="H3">
            <v>10.06</v>
          </cell>
          <cell r="I3">
            <v>1.2E-2</v>
          </cell>
          <cell r="J3">
            <v>2.1000000000000001E-2</v>
          </cell>
          <cell r="K3" t="str">
            <v>p&lt;0.05</v>
          </cell>
        </row>
        <row r="4">
          <cell r="C4">
            <v>2.2370000000000001</v>
          </cell>
          <cell r="D4">
            <v>1.27929253555636</v>
          </cell>
          <cell r="E4">
            <v>3.1941262549499299</v>
          </cell>
          <cell r="F4">
            <v>0.43</v>
          </cell>
          <cell r="G4">
            <v>5.2039999999999997</v>
          </cell>
          <cell r="H4">
            <v>10.029999999999999</v>
          </cell>
          <cell r="I4">
            <v>4.0000000000000002E-4</v>
          </cell>
          <cell r="J4">
            <v>1E-3</v>
          </cell>
          <cell r="K4" t="str">
            <v>p&lt;0.01</v>
          </cell>
        </row>
        <row r="5">
          <cell r="C5">
            <v>0.28899999999999998</v>
          </cell>
          <cell r="D5">
            <v>-0.27415618944855602</v>
          </cell>
          <cell r="E5">
            <v>0.85278924152352698</v>
          </cell>
          <cell r="F5">
            <v>0.253</v>
          </cell>
          <cell r="G5">
            <v>1.1439999999999999</v>
          </cell>
          <cell r="H5">
            <v>9.98</v>
          </cell>
          <cell r="I5">
            <v>0.27900000000000003</v>
          </cell>
          <cell r="J5">
            <v>0.36699999999999999</v>
          </cell>
        </row>
        <row r="6">
          <cell r="C6">
            <v>1.766</v>
          </cell>
          <cell r="D6">
            <v>0.392873023230355</v>
          </cell>
          <cell r="E6">
            <v>3.1387273895439902</v>
          </cell>
          <cell r="F6">
            <v>0.61599999999999999</v>
          </cell>
          <cell r="G6">
            <v>2.8650000000000002</v>
          </cell>
          <cell r="H6">
            <v>10.02</v>
          </cell>
          <cell r="I6">
            <v>1.7000000000000001E-2</v>
          </cell>
          <cell r="J6">
            <v>2.9000000000000001E-2</v>
          </cell>
          <cell r="K6" t="str">
            <v>p&lt;0.05</v>
          </cell>
        </row>
        <row r="7">
          <cell r="C7">
            <v>1.476</v>
          </cell>
          <cell r="D7">
            <v>0.18253335878347399</v>
          </cell>
          <cell r="E7">
            <v>2.7704356031870798</v>
          </cell>
          <cell r="F7">
            <v>0.58099999999999996</v>
          </cell>
          <cell r="G7">
            <v>2.5409999999999999</v>
          </cell>
          <cell r="H7">
            <v>10.039999999999999</v>
          </cell>
          <cell r="I7">
            <v>2.9000000000000001E-2</v>
          </cell>
          <cell r="J7">
            <v>4.7E-2</v>
          </cell>
          <cell r="K7" t="str">
            <v>p&lt;0.05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-2.4249999999999998</v>
          </cell>
          <cell r="D2">
            <v>-5.1648506748671297</v>
          </cell>
          <cell r="E2">
            <v>0.31476883778365999</v>
          </cell>
          <cell r="F2">
            <v>1.23</v>
          </cell>
          <cell r="G2">
            <v>-1.972</v>
          </cell>
          <cell r="H2">
            <v>9.99</v>
          </cell>
          <cell r="I2">
            <v>7.6999999999999999E-2</v>
          </cell>
          <cell r="J2">
            <v>0.115</v>
          </cell>
        </row>
        <row r="3">
          <cell r="C3">
            <v>3.55</v>
          </cell>
          <cell r="D3">
            <v>1.68861578034655</v>
          </cell>
          <cell r="E3">
            <v>5.4106698103847899</v>
          </cell>
          <cell r="F3">
            <v>0.83499999999999996</v>
          </cell>
          <cell r="G3">
            <v>4.2510000000000003</v>
          </cell>
          <cell r="H3">
            <v>9.99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6.6139999999999999</v>
          </cell>
          <cell r="D4">
            <v>4.0422738277759702</v>
          </cell>
          <cell r="E4">
            <v>9.1858107901548003</v>
          </cell>
          <cell r="F4">
            <v>1.1559999999999999</v>
          </cell>
          <cell r="G4">
            <v>5.7240000000000002</v>
          </cell>
          <cell r="H4">
            <v>10.08</v>
          </cell>
          <cell r="I4">
            <v>1.9000000000000001E-4</v>
          </cell>
          <cell r="J4">
            <v>5.4000000000000001E-4</v>
          </cell>
          <cell r="K4" t="str">
            <v>p&lt;0.001</v>
          </cell>
        </row>
        <row r="5">
          <cell r="C5">
            <v>5.9749999999999996</v>
          </cell>
          <cell r="D5">
            <v>2.8009805410186699</v>
          </cell>
          <cell r="E5">
            <v>9.1483861911875906</v>
          </cell>
          <cell r="F5">
            <v>1.4239999999999999</v>
          </cell>
          <cell r="G5">
            <v>4.1950000000000003</v>
          </cell>
          <cell r="H5">
            <v>10</v>
          </cell>
          <cell r="I5">
            <v>2E-3</v>
          </cell>
          <cell r="J5">
            <v>4.0000000000000001E-3</v>
          </cell>
          <cell r="K5" t="str">
            <v>p&lt;0.01</v>
          </cell>
        </row>
        <row r="6">
          <cell r="C6">
            <v>9.0389999999999997</v>
          </cell>
          <cell r="D6">
            <v>5.1135217823264796</v>
          </cell>
          <cell r="E6">
            <v>12.964643526771599</v>
          </cell>
          <cell r="F6">
            <v>1.762</v>
          </cell>
          <cell r="G6">
            <v>5.1289999999999996</v>
          </cell>
          <cell r="H6">
            <v>10.029999999999999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3.0640000000000001</v>
          </cell>
          <cell r="D7">
            <v>1.2156559704579</v>
          </cell>
          <cell r="E7">
            <v>4.9131421564923397</v>
          </cell>
          <cell r="F7">
            <v>0.82799999999999996</v>
          </cell>
          <cell r="G7">
            <v>3.6989999999999998</v>
          </cell>
          <cell r="H7">
            <v>9.89</v>
          </cell>
          <cell r="I7">
            <v>4.0000000000000001E-3</v>
          </cell>
          <cell r="J7">
            <v>8.0000000000000002E-3</v>
          </cell>
          <cell r="K7" t="str">
            <v>p&lt;0.01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0.45900000000000002</v>
          </cell>
          <cell r="D2">
            <v>-0.22005042684506099</v>
          </cell>
          <cell r="E2">
            <v>1.13874213877986</v>
          </cell>
          <cell r="F2">
            <v>0.30599999999999999</v>
          </cell>
          <cell r="G2">
            <v>1.502</v>
          </cell>
          <cell r="H2">
            <v>10.220000000000001</v>
          </cell>
          <cell r="I2">
            <v>0.16300000000000001</v>
          </cell>
          <cell r="J2">
            <v>0.22700000000000001</v>
          </cell>
        </row>
        <row r="3">
          <cell r="C3">
            <v>0.59299999999999997</v>
          </cell>
          <cell r="D3">
            <v>0.108555971998762</v>
          </cell>
          <cell r="E3">
            <v>1.07793168535232</v>
          </cell>
          <cell r="F3">
            <v>0.219</v>
          </cell>
          <cell r="G3">
            <v>2.7029999999999998</v>
          </cell>
          <cell r="H3">
            <v>10.71</v>
          </cell>
          <cell r="I3">
            <v>2.1000000000000001E-2</v>
          </cell>
          <cell r="J3">
            <v>3.5000000000000003E-2</v>
          </cell>
          <cell r="K3" t="str">
            <v>p&lt;0.05</v>
          </cell>
        </row>
        <row r="4">
          <cell r="C4">
            <v>1.8879999999999999</v>
          </cell>
          <cell r="D4">
            <v>0.97877213495711402</v>
          </cell>
          <cell r="E4">
            <v>2.7975602321976498</v>
          </cell>
          <cell r="F4">
            <v>0.41499999999999998</v>
          </cell>
          <cell r="G4">
            <v>4.5519999999999996</v>
          </cell>
          <cell r="H4">
            <v>11.37</v>
          </cell>
          <cell r="I4">
            <v>7.6000000000000004E-4</v>
          </cell>
          <cell r="J4">
            <v>2E-3</v>
          </cell>
          <cell r="K4" t="str">
            <v>p&lt;0.01</v>
          </cell>
        </row>
        <row r="5">
          <cell r="C5">
            <v>0.13400000000000001</v>
          </cell>
          <cell r="D5">
            <v>-0.413107830585073</v>
          </cell>
          <cell r="E5">
            <v>0.680940016530581</v>
          </cell>
          <cell r="F5">
            <v>0.247</v>
          </cell>
          <cell r="G5">
            <v>0.54300000000000004</v>
          </cell>
          <cell r="H5">
            <v>10.4</v>
          </cell>
          <cell r="I5">
            <v>0.59899999999999998</v>
          </cell>
          <cell r="J5">
            <v>0.69299999999999995</v>
          </cell>
        </row>
        <row r="6">
          <cell r="C6">
            <v>1.429</v>
          </cell>
          <cell r="D6">
            <v>9.6942606097958794E-2</v>
          </cell>
          <cell r="E6">
            <v>2.7607365670051802</v>
          </cell>
          <cell r="F6">
            <v>0.60299999999999998</v>
          </cell>
          <cell r="G6">
            <v>2.3679999999999999</v>
          </cell>
          <cell r="H6">
            <v>10.74</v>
          </cell>
          <cell r="I6">
            <v>3.7999999999999999E-2</v>
          </cell>
          <cell r="J6">
            <v>5.8999999999999997E-2</v>
          </cell>
        </row>
        <row r="7">
          <cell r="C7">
            <v>1.2949999999999999</v>
          </cell>
          <cell r="D7">
            <v>0.10486616429503801</v>
          </cell>
          <cell r="E7">
            <v>2.4849804137817202</v>
          </cell>
          <cell r="F7">
            <v>0.53600000000000003</v>
          </cell>
          <cell r="G7">
            <v>2.4180000000000001</v>
          </cell>
          <cell r="H7">
            <v>10.220000000000001</v>
          </cell>
          <cell r="I7">
            <v>3.5999999999999997E-2</v>
          </cell>
          <cell r="J7">
            <v>5.7000000000000002E-2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-2.1459999999999999</v>
          </cell>
          <cell r="D2">
            <v>-4.9290303939881603</v>
          </cell>
          <cell r="E2">
            <v>0.63656715648571705</v>
          </cell>
          <cell r="F2">
            <v>1.2509999999999999</v>
          </cell>
          <cell r="G2">
            <v>-1.716</v>
          </cell>
          <cell r="H2">
            <v>10.11</v>
          </cell>
          <cell r="I2">
            <v>0.11700000000000001</v>
          </cell>
          <cell r="J2">
            <v>0.17</v>
          </cell>
        </row>
        <row r="3">
          <cell r="C3">
            <v>2.9529999999999998</v>
          </cell>
          <cell r="D3">
            <v>1.3126526962549201</v>
          </cell>
          <cell r="E3">
            <v>4.5931569639928203</v>
          </cell>
          <cell r="F3">
            <v>0.73699999999999999</v>
          </cell>
          <cell r="G3">
            <v>4.0049999999999999</v>
          </cell>
          <cell r="H3">
            <v>10.130000000000001</v>
          </cell>
          <cell r="I3">
            <v>2E-3</v>
          </cell>
          <cell r="J3">
            <v>5.0000000000000001E-3</v>
          </cell>
          <cell r="K3" t="str">
            <v>p&lt;0.01</v>
          </cell>
        </row>
        <row r="4">
          <cell r="C4">
            <v>5.1980000000000004</v>
          </cell>
          <cell r="D4">
            <v>3.0446183296168501</v>
          </cell>
          <cell r="E4">
            <v>7.35198205145001</v>
          </cell>
          <cell r="F4">
            <v>0.97499999999999998</v>
          </cell>
          <cell r="G4">
            <v>5.3310000000000004</v>
          </cell>
          <cell r="H4">
            <v>10.7</v>
          </cell>
          <cell r="I4">
            <v>2.5999999999999998E-4</v>
          </cell>
          <cell r="J4">
            <v>7.5000000000000002E-4</v>
          </cell>
          <cell r="K4" t="str">
            <v>p&lt;0.001</v>
          </cell>
        </row>
        <row r="5">
          <cell r="C5">
            <v>5.0990000000000002</v>
          </cell>
          <cell r="D5">
            <v>2.1411321970980501</v>
          </cell>
          <cell r="E5">
            <v>8.0571419515684397</v>
          </cell>
          <cell r="F5">
            <v>1.3320000000000001</v>
          </cell>
          <cell r="G5">
            <v>3.8290000000000002</v>
          </cell>
          <cell r="H5">
            <v>10.24</v>
          </cell>
          <cell r="I5">
            <v>3.0000000000000001E-3</v>
          </cell>
          <cell r="J5">
            <v>6.0000000000000001E-3</v>
          </cell>
          <cell r="K5" t="str">
            <v>p&lt;0.01</v>
          </cell>
        </row>
        <row r="6">
          <cell r="C6">
            <v>7.3449999999999998</v>
          </cell>
          <cell r="D6">
            <v>3.71812207363834</v>
          </cell>
          <cell r="E6">
            <v>10.970935220656701</v>
          </cell>
          <cell r="F6">
            <v>1.6359999999999999</v>
          </cell>
          <cell r="G6">
            <v>4.4889999999999999</v>
          </cell>
          <cell r="H6">
            <v>10.4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2.2450000000000001</v>
          </cell>
          <cell r="D7">
            <v>0.68851001052336003</v>
          </cell>
          <cell r="E7">
            <v>3.8022848016253601</v>
          </cell>
          <cell r="F7">
            <v>0.69899999999999995</v>
          </cell>
          <cell r="G7">
            <v>3.2130000000000001</v>
          </cell>
          <cell r="H7">
            <v>10.02</v>
          </cell>
          <cell r="I7">
            <v>8.9999999999999993E-3</v>
          </cell>
          <cell r="J7">
            <v>1.6E-2</v>
          </cell>
          <cell r="K7" t="str">
            <v>p&lt;0.05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5.1999999999999997E-5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6.9999999999999994E-5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5.1999999999999995E-4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5.1999999999999995E-4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5.2999999999999998E-4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6.0999999999999997E-4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2.5000000000000001E-14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2.5000000000000001E-14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2.3999999999999999E-14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2.3999999999999999E-14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0.53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1.3000000000000001E-21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1.5000000000000001E-39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7.0999999999999998E-19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3.4000000000000003E-36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1.3E-6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K41" totalsRowShown="0" headerRowDxfId="272" dataDxfId="270" headerRowBorderDxfId="271" tableBorderDxfId="269" totalsRowBorderDxfId="268">
  <autoFilter ref="A37:K41" xr:uid="{D3980010-2201-43EF-9941-5D34E4A5CF0F}"/>
  <tableColumns count="11">
    <tableColumn id="1" xr3:uid="{48EA7560-AFDA-4976-872C-A62413C27C30}" name="Predictors" dataDxfId="267">
      <calculatedColumnFormula>A31</calculatedColumnFormula>
    </tableColumn>
    <tableColumn id="2" xr3:uid="{B74BAF5A-A8B1-41AC-AA5C-9C7F4D3C00F5}" name="estimate" dataDxfId="266">
      <calculatedColumnFormula>[7]Mode_l_f0_b0!B2</calculatedColumnFormula>
    </tableColumn>
    <tableColumn id="6" xr3:uid="{25F0D2CD-4553-4F0F-A005-7B069A4DF146}" name="2.5% CI" dataDxfId="265">
      <calculatedColumnFormula>[7]Mode_l_f0_b0!C2</calculatedColumnFormula>
    </tableColumn>
    <tableColumn id="5" xr3:uid="{5C65DEBD-594B-4030-A893-0F5416AC8463}" name="97.5% CI" dataDxfId="264">
      <calculatedColumnFormula>[7]Mode_l_f0_b0!D2</calculatedColumnFormula>
    </tableColumn>
    <tableColumn id="4" xr3:uid="{E8CB2113-1504-4E4A-8C69-95B41702801D}" name="std.error" dataDxfId="263">
      <calculatedColumnFormula>[7]Mode_l_f0_b0!E2</calculatedColumnFormula>
    </tableColumn>
    <tableColumn id="9" xr3:uid="{3685B48B-FD8D-45C1-BDB3-A8E961B16560}" name="z.value" dataDxfId="262">
      <calculatedColumnFormula>[7]Mode_l_f0_b0!F2</calculatedColumnFormula>
    </tableColumn>
    <tableColumn id="7" xr3:uid="{82530BA9-A214-4E3F-8B7C-1C9D8230702E}" name="df" dataDxfId="261">
      <calculatedColumnFormula>[7]Mode_l_f0_b0!G2</calculatedColumnFormula>
    </tableColumn>
    <tableColumn id="3" xr3:uid="{13FC0C8F-F83E-4E94-AE8C-72CF30BBE373}" name="p.value" dataDxfId="260">
      <calculatedColumnFormula>[7]Mode_l_f0_b0!H2</calculatedColumnFormula>
    </tableColumn>
    <tableColumn id="10" xr3:uid="{11A56334-4561-4E93-921F-E06200DE80A2}" name="p.adj (BH)" dataDxfId="259">
      <calculatedColumnFormula>[7]Mode_l_f0_b0!I2</calculatedColumnFormula>
    </tableColumn>
    <tableColumn id="11" xr3:uid="{C53533F8-7533-44F1-90BA-B150BF875299}" name="signif." dataDxfId="258">
      <calculatedColumnFormula>[7]Mode_l_f0_b0!J2</calculatedColumnFormula>
    </tableColumn>
    <tableColumn id="8" xr3:uid="{C1996589-8716-4257-9BC3-42E65902C402}" name="|CI-delta|" dataDxfId="257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K47" totalsRowShown="0" headerRowDxfId="256" dataDxfId="254" headerRowBorderDxfId="255" tableBorderDxfId="253" totalsRowBorderDxfId="252">
  <autoFilter ref="A43:K47" xr:uid="{DE40A492-BBA9-4876-8724-BC64B3994271}"/>
  <tableColumns count="11">
    <tableColumn id="1" xr3:uid="{E34199D2-D5CB-45DC-96B2-AAECCF32344B}" name="Predictors" dataDxfId="251">
      <calculatedColumnFormula>A25</calculatedColumnFormula>
    </tableColumn>
    <tableColumn id="2" xr3:uid="{BF536D58-8825-421A-A286-3483AB4A0DBA}" name="estimate" dataDxfId="250">
      <calculatedColumnFormula>[8]Mode_h_f0_b0!B2</calculatedColumnFormula>
    </tableColumn>
    <tableColumn id="6" xr3:uid="{51E253F3-5545-4607-87E2-3713F0C79ED0}" name="2.5% CI" dataDxfId="249">
      <calculatedColumnFormula>[8]Mode_h_f0_b0!C2</calculatedColumnFormula>
    </tableColumn>
    <tableColumn id="5" xr3:uid="{39D9684C-88E4-42B1-822E-8BF560658BA3}" name="97.5% CI" dataDxfId="248">
      <calculatedColumnFormula>[8]Mode_h_f0_b0!D2</calculatedColumnFormula>
    </tableColumn>
    <tableColumn id="4" xr3:uid="{DBC249E2-0975-4309-BB60-C2B64E67BC66}" name="std.error" dataDxfId="247">
      <calculatedColumnFormula>[8]Mode_h_f0_b0!E2</calculatedColumnFormula>
    </tableColumn>
    <tableColumn id="9" xr3:uid="{BC78A058-E2DD-4469-A2C7-112329D198FF}" name="z.value" dataDxfId="246">
      <calculatedColumnFormula>[8]Mode_h_f0_b0!F2</calculatedColumnFormula>
    </tableColumn>
    <tableColumn id="7" xr3:uid="{345088CF-6388-428C-8713-406B42459A71}" name="df" dataDxfId="245">
      <calculatedColumnFormula>[8]Mode_h_f0_b0!G2</calculatedColumnFormula>
    </tableColumn>
    <tableColumn id="3" xr3:uid="{BF186A60-3668-4E52-B6B6-5FA634C84064}" name="p.value" dataDxfId="244">
      <calculatedColumnFormula>[8]Mode_h_f0_b0!H2</calculatedColumnFormula>
    </tableColumn>
    <tableColumn id="10" xr3:uid="{E78DB220-8E24-4C46-B371-A977334CF0B2}" name="p.adj (BH)" dataDxfId="243">
      <calculatedColumnFormula>[8]Mode_h_f0_b0!I2</calculatedColumnFormula>
    </tableColumn>
    <tableColumn id="11" xr3:uid="{2F1FC41D-A1D8-48DD-84A7-299EAAD40F3C}" name="signif." dataDxfId="242">
      <calculatedColumnFormula>[8]Mode_h_f0_b0!J2</calculatedColumnFormula>
    </tableColumn>
    <tableColumn id="8" xr3:uid="{91174BE1-7871-4821-9200-FC6E6061BBAE}" name="|CI-delta|" dataDxfId="241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K28" totalsRowShown="0" headerRowDxfId="240" dataDxfId="238" headerRowBorderDxfId="239" tableBorderDxfId="237" totalsRowBorderDxfId="236">
  <autoFilter ref="A24:K28" xr:uid="{31E79EDA-219D-4CFA-8AA6-6A991A81B772}"/>
  <tableColumns count="11">
    <tableColumn id="1" xr3:uid="{25702B6E-B402-46EF-BB07-89FAEF761F4F}" name="Predictors" dataDxfId="235" totalsRowDxfId="234"/>
    <tableColumn id="2" xr3:uid="{55B41C0A-72EC-4198-AA0E-BDC398F9A9B6}" name="estimate" dataDxfId="233" totalsRowDxfId="232">
      <calculatedColumnFormula>[5]Mode_l_t_b0!B2</calculatedColumnFormula>
    </tableColumn>
    <tableColumn id="6" xr3:uid="{6F9FB966-53EF-492A-8818-43E47D6A804A}" name="2.5% CI" dataDxfId="231" totalsRowDxfId="230">
      <calculatedColumnFormula>[5]Mode_l_t_b0!C2</calculatedColumnFormula>
    </tableColumn>
    <tableColumn id="5" xr3:uid="{79B4821D-DF78-4C65-827E-002BD888F3B1}" name="97.5% CI" dataDxfId="229" totalsRowDxfId="228">
      <calculatedColumnFormula>[5]Mode_l_t_b0!D2</calculatedColumnFormula>
    </tableColumn>
    <tableColumn id="11" xr3:uid="{F482AED5-B0BB-44BF-A8A3-D22BD51F16CA}" name="std.error" dataDxfId="227" totalsRowDxfId="226">
      <calculatedColumnFormula>[5]Mode_l_t_b0!E2</calculatedColumnFormula>
    </tableColumn>
    <tableColumn id="9" xr3:uid="{53B8EDFB-2AAD-41CD-93BC-EBF6EF2FA968}" name="z.value" dataDxfId="225" totalsRowDxfId="224">
      <calculatedColumnFormula>[5]Mode_l_t_b0!F2</calculatedColumnFormula>
    </tableColumn>
    <tableColumn id="7" xr3:uid="{B0600C54-1844-472B-91DD-0DF3D01FC44F}" name="df" dataDxfId="223" totalsRowDxfId="222">
      <calculatedColumnFormula>[5]Mode_l_t_b0!G2</calculatedColumnFormula>
    </tableColumn>
    <tableColumn id="4" xr3:uid="{FFDC2EE2-1EB3-430A-AB8E-0D89238F833E}" name="p.value" dataDxfId="221" totalsRowDxfId="220">
      <calculatedColumnFormula>[5]Mode_l_t_b0!H2</calculatedColumnFormula>
    </tableColumn>
    <tableColumn id="10" xr3:uid="{8B21A8EF-9EF0-49B8-878F-EF9AB4B6D715}" name="p.adj (BH)" dataDxfId="219" totalsRowDxfId="218">
      <calculatedColumnFormula>[5]Mode_l_t_b0!I2</calculatedColumnFormula>
    </tableColumn>
    <tableColumn id="12" xr3:uid="{21E87D89-DB44-44E1-BA28-5564E496E5EF}" name="signif." dataDxfId="217" totalsRowDxfId="216">
      <calculatedColumnFormula>[5]Mode_l_t_b0!J2</calculatedColumnFormula>
    </tableColumn>
    <tableColumn id="8" xr3:uid="{E2CC2F45-52B6-411C-8857-874E710E7E9B}" name="|CI-delta|" dataDxfId="215" totalsRowDxfId="214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K34" totalsRowShown="0" headerRowDxfId="213" dataDxfId="211" headerRowBorderDxfId="212" tableBorderDxfId="210" totalsRowBorderDxfId="209">
  <autoFilter ref="A30:K34" xr:uid="{873E651E-364D-4C9A-AC67-F669F1DC98F7}"/>
  <tableColumns count="11">
    <tableColumn id="1" xr3:uid="{13F39383-83C5-45EF-A3DC-AB048CB47D6B}" name="Predictors" dataDxfId="208">
      <calculatedColumnFormula>A25</calculatedColumnFormula>
    </tableColumn>
    <tableColumn id="2" xr3:uid="{FC01EC59-6FE5-4984-BD8C-56885D9A31B8}" name="estimate" dataDxfId="207">
      <calculatedColumnFormula>[6]Mode_h_t_b0!B2</calculatedColumnFormula>
    </tableColumn>
    <tableColumn id="6" xr3:uid="{123C5CEC-9EE4-42F1-8816-CAF425B9D6D8}" name="2.5% CI" dataDxfId="206">
      <calculatedColumnFormula>[6]Mode_h_t_b0!C2</calculatedColumnFormula>
    </tableColumn>
    <tableColumn id="5" xr3:uid="{92067161-C954-46A0-8425-5016FA39924E}" name="97.5% CI" dataDxfId="205">
      <calculatedColumnFormula>[6]Mode_h_t_b0!D2</calculatedColumnFormula>
    </tableColumn>
    <tableColumn id="11" xr3:uid="{BC66FE52-2DDC-4CAC-9D64-34A38A088B90}" name="std.error" dataDxfId="204">
      <calculatedColumnFormula>[6]Mode_h_t_b0!E2</calculatedColumnFormula>
    </tableColumn>
    <tableColumn id="7" xr3:uid="{69D0A743-B567-418D-8648-545E6E11AEE0}" name="z.value" dataDxfId="203">
      <calculatedColumnFormula>[6]Mode_h_t_b0!F2</calculatedColumnFormula>
    </tableColumn>
    <tableColumn id="4" xr3:uid="{AB4376D9-BDD9-4A36-92E2-B7D853A42B1C}" name="df" dataDxfId="202">
      <calculatedColumnFormula>[6]Mode_h_t_b0!G2</calculatedColumnFormula>
    </tableColumn>
    <tableColumn id="3" xr3:uid="{C7B0BA2B-ACE8-4615-9B5C-C09C24410A89}" name="p.value" dataDxfId="201">
      <calculatedColumnFormula>[6]Mode_h_t_b0!H2</calculatedColumnFormula>
    </tableColumn>
    <tableColumn id="9" xr3:uid="{BEF049A1-4C9A-4C60-8CFB-2E49B1922F49}" name="p.adj (BH)" dataDxfId="200">
      <calculatedColumnFormula>[6]Mode_h_t_b0!I2</calculatedColumnFormula>
    </tableColumn>
    <tableColumn id="10" xr3:uid="{B0F27E57-CE19-4360-9DFD-7B3120590EF3}" name="signif." dataDxfId="199">
      <calculatedColumnFormula>[6]Mode_h_t_b0!J2</calculatedColumnFormula>
    </tableColumn>
    <tableColumn id="8" xr3:uid="{017AD943-F50D-4872-8482-F88D6E168424}" name="|CI-delta|" dataDxfId="198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170" dataDxfId="168" headerRowBorderDxfId="169" tableBorderDxfId="167" totalsRowBorderDxfId="166">
  <autoFilter ref="A46:F54" xr:uid="{D3980010-2201-43EF-9941-5D34E4A5CF0F}"/>
  <tableColumns count="6">
    <tableColumn id="1" xr3:uid="{48EA7560-AFDA-4976-872C-A62413C27C30}" name="Predictors" dataDxfId="165">
      <calculatedColumnFormula>A36</calculatedColumnFormula>
    </tableColumn>
    <tableColumn id="2" xr3:uid="{B74BAF5A-A8B1-41AC-AA5C-9C7F4D3C00F5}" name="Estimates" dataDxfId="164">
      <calculatedColumnFormula>[13]Mode_PA_l_f0_b0!B2</calculatedColumnFormula>
    </tableColumn>
    <tableColumn id="6" xr3:uid="{25F0D2CD-4553-4F0F-A005-7B069A4DF146}" name="2.5% CI" dataDxfId="163">
      <calculatedColumnFormula>[13]Mode_PA_l_f0_b0!C2</calculatedColumnFormula>
    </tableColumn>
    <tableColumn id="5" xr3:uid="{5C65DEBD-594B-4030-A893-0F5416AC8463}" name="97.5% CI" dataDxfId="162">
      <calculatedColumnFormula>[13]Mode_PA_l_f0_b0!D2</calculatedColumnFormula>
    </tableColumn>
    <tableColumn id="4" xr3:uid="{DBAE124F-2AB7-4917-BD3C-BAC1A6AFFFAF}" name="std.error" dataDxfId="161">
      <calculatedColumnFormula>[13]Mode_PA_l_f0_b0!E2</calculatedColumnFormula>
    </tableColumn>
    <tableColumn id="8" xr3:uid="{C1996589-8716-4257-9BC3-42E65902C402}" name="|CI-delta|" dataDxfId="160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159" dataDxfId="157" headerRowBorderDxfId="158" tableBorderDxfId="156" totalsRowBorderDxfId="155">
  <autoFilter ref="A57:F65" xr:uid="{DE40A492-BBA9-4876-8724-BC64B3994271}"/>
  <tableColumns count="6">
    <tableColumn id="1" xr3:uid="{E34199D2-D5CB-45DC-96B2-AAECCF32344B}" name="Predictors" dataDxfId="154">
      <calculatedColumnFormula>A25</calculatedColumnFormula>
    </tableColumn>
    <tableColumn id="2" xr3:uid="{BF536D58-8825-421A-A286-3483AB4A0DBA}" name="Estimates" dataDxfId="153">
      <calculatedColumnFormula>[15]Mode_PA_h_f0_b0!B2</calculatedColumnFormula>
    </tableColumn>
    <tableColumn id="6" xr3:uid="{51E253F3-5545-4607-87E2-3713F0C79ED0}" name="2.5% CI" dataDxfId="152">
      <calculatedColumnFormula>[15]Mode_PA_h_f0_b0!C2</calculatedColumnFormula>
    </tableColumn>
    <tableColumn id="5" xr3:uid="{39D9684C-88E4-42B1-822E-8BF560658BA3}" name="97.5% CI" dataDxfId="151">
      <calculatedColumnFormula>[15]Mode_PA_h_f0_b0!D2</calculatedColumnFormula>
    </tableColumn>
    <tableColumn id="4" xr3:uid="{4F3547A1-CB2A-4E98-A68E-DF4170001DC3}" name="std.error" dataDxfId="150">
      <calculatedColumnFormula>[15]Mode_PA_h_f0_b0!E2</calculatedColumnFormula>
    </tableColumn>
    <tableColumn id="8" xr3:uid="{91174BE1-7871-4821-9200-FC6E6061BBAE}" name="|CI-delta|" dataDxfId="149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148" dataDxfId="146" headerRowBorderDxfId="147" tableBorderDxfId="145" totalsRowBorderDxfId="144">
  <autoFilter ref="A24:F32" xr:uid="{31E79EDA-219D-4CFA-8AA6-6A991A81B772}"/>
  <tableColumns count="6">
    <tableColumn id="1" xr3:uid="{25702B6E-B402-46EF-BB07-89FAEF761F4F}" name="Predictors" dataDxfId="143"/>
    <tableColumn id="2" xr3:uid="{55B41C0A-72EC-4198-AA0E-BDC398F9A9B6}" name="Estimates" dataDxfId="142">
      <calculatedColumnFormula>[17]Mode_PA_l_t_b0!B2</calculatedColumnFormula>
    </tableColumn>
    <tableColumn id="6" xr3:uid="{6F9FB966-53EF-492A-8818-43E47D6A804A}" name="2.5% CI" dataDxfId="141">
      <calculatedColumnFormula>[17]Mode_PA_l_t_b0!C2</calculatedColumnFormula>
    </tableColumn>
    <tableColumn id="5" xr3:uid="{79B4821D-DF78-4C65-827E-002BD888F3B1}" name="97.5% CI" dataDxfId="140">
      <calculatedColumnFormula>[17]Mode_PA_l_t_b0!D2</calculatedColumnFormula>
    </tableColumn>
    <tableColumn id="7" xr3:uid="{01175348-29DC-4F27-B480-262E1C115CFD}" name="std.error" dataDxfId="139">
      <calculatedColumnFormula>[17]Mode_PA_l_t_b0!E2</calculatedColumnFormula>
    </tableColumn>
    <tableColumn id="8" xr3:uid="{E2CC2F45-52B6-411C-8857-874E710E7E9B}" name="|CI-delta|" dataDxfId="138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137" dataDxfId="135" headerRowBorderDxfId="136" tableBorderDxfId="134" totalsRowBorderDxfId="133">
  <autoFilter ref="A35:F43" xr:uid="{873E651E-364D-4C9A-AC67-F669F1DC98F7}"/>
  <tableColumns count="6">
    <tableColumn id="1" xr3:uid="{13F39383-83C5-45EF-A3DC-AB048CB47D6B}" name="Predictors" dataDxfId="132">
      <calculatedColumnFormula>A25</calculatedColumnFormula>
    </tableColumn>
    <tableColumn id="2" xr3:uid="{FC01EC59-6FE5-4984-BD8C-56885D9A31B8}" name="Estimates" dataDxfId="131">
      <calculatedColumnFormula>[19]Mode_PA_h_t_b0!B2</calculatedColumnFormula>
    </tableColumn>
    <tableColumn id="6" xr3:uid="{123C5CEC-9EE4-42F1-8816-CAF425B9D6D8}" name="2.5% CI" dataDxfId="130">
      <calculatedColumnFormula>[19]Mode_PA_h_t_b0!C2</calculatedColumnFormula>
    </tableColumn>
    <tableColumn id="5" xr3:uid="{92067161-C954-46A0-8425-5016FA39924E}" name="97.5% CI" dataDxfId="129">
      <calculatedColumnFormula>[19]Mode_PA_h_t_b0!D2</calculatedColumnFormula>
    </tableColumn>
    <tableColumn id="4" xr3:uid="{EE36E7A7-1D0E-40E4-B2DF-C9C6E2F96C9B}" name="std.error" dataDxfId="128">
      <calculatedColumnFormula>[19]Mode_PA_h_t_b0!E2</calculatedColumnFormula>
    </tableColumn>
    <tableColumn id="8" xr3:uid="{017AD943-F50D-4872-8482-F88D6E168424}" name="|CI-delta|" dataDxfId="127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7"/>
  <sheetViews>
    <sheetView showGridLines="0" zoomScale="111" zoomScaleNormal="111" zoomScaleSheetLayoutView="55" workbookViewId="0">
      <selection sqref="A1:J1"/>
    </sheetView>
  </sheetViews>
  <sheetFormatPr defaultColWidth="8.85546875" defaultRowHeight="15" x14ac:dyDescent="0.25"/>
  <cols>
    <col min="1" max="1" width="17.140625" style="114" customWidth="1"/>
    <col min="2" max="5" width="11.85546875" style="118" customWidth="1"/>
    <col min="6" max="10" width="11.85546875" style="114" customWidth="1"/>
    <col min="11" max="14" width="11.85546875" style="118" customWidth="1"/>
    <col min="15" max="15" width="10.42578125" style="117" bestFit="1" customWidth="1"/>
    <col min="16" max="16" width="11.5703125" style="116" bestFit="1" customWidth="1"/>
    <col min="17" max="17" width="12" style="114" bestFit="1" customWidth="1"/>
    <col min="18" max="18" width="10.140625" style="114" bestFit="1" customWidth="1"/>
    <col min="19" max="19" width="6" style="114" bestFit="1" customWidth="1"/>
    <col min="20" max="20" width="10.42578125" style="114" bestFit="1" customWidth="1"/>
    <col min="21" max="21" width="12.42578125" style="114" bestFit="1" customWidth="1"/>
    <col min="22" max="22" width="9.140625" style="114" bestFit="1" customWidth="1"/>
    <col min="23" max="23" width="12.7109375" style="114" bestFit="1" customWidth="1"/>
    <col min="24" max="24" width="10.42578125" style="114" bestFit="1" customWidth="1"/>
    <col min="25" max="25" width="11.5703125" style="114" bestFit="1" customWidth="1"/>
    <col min="26" max="26" width="14.28515625" style="114" bestFit="1" customWidth="1"/>
    <col min="27" max="27" width="12.28515625" style="114" customWidth="1"/>
    <col min="28" max="28" width="12.7109375" style="115" bestFit="1" customWidth="1"/>
    <col min="29" max="29" width="12.7109375" style="114" bestFit="1" customWidth="1"/>
    <col min="30" max="30" width="12" style="114" bestFit="1" customWidth="1"/>
    <col min="31" max="31" width="12.7109375" style="114" bestFit="1" customWidth="1"/>
    <col min="32" max="32" width="12" style="114" customWidth="1"/>
    <col min="33" max="33" width="13" style="114" customWidth="1"/>
    <col min="34" max="16384" width="8.85546875" style="114"/>
  </cols>
  <sheetData>
    <row r="1" spans="1:26" s="269" customFormat="1" ht="24" customHeight="1" thickBot="1" x14ac:dyDescent="0.35">
      <c r="A1" s="277" t="s">
        <v>74</v>
      </c>
      <c r="B1" s="277"/>
      <c r="C1" s="277"/>
      <c r="D1" s="277"/>
      <c r="E1" s="277"/>
      <c r="F1" s="277"/>
      <c r="G1" s="277"/>
      <c r="H1" s="277"/>
      <c r="I1" s="277"/>
      <c r="J1" s="277"/>
      <c r="K1" s="267"/>
      <c r="L1" s="278" t="s">
        <v>79</v>
      </c>
      <c r="M1" s="278"/>
      <c r="N1" s="278"/>
      <c r="O1" s="268"/>
      <c r="P1" s="268"/>
    </row>
    <row r="2" spans="1:26" s="245" customFormat="1" ht="15.75" customHeight="1" thickTop="1" thickBot="1" x14ac:dyDescent="0.3">
      <c r="A2" s="179" t="str">
        <f>A25</f>
        <v>MDC</v>
      </c>
      <c r="B2" s="179" t="s">
        <v>33</v>
      </c>
      <c r="C2" s="179" t="str">
        <f t="shared" ref="C2:J2" si="0">C$24</f>
        <v>2.5% CI</v>
      </c>
      <c r="D2" s="179" t="str">
        <f t="shared" si="0"/>
        <v>97.5% CI</v>
      </c>
      <c r="E2" s="179" t="str">
        <f t="shared" si="0"/>
        <v>std.error</v>
      </c>
      <c r="F2" s="179" t="str">
        <f t="shared" si="0"/>
        <v>z.value</v>
      </c>
      <c r="G2" s="179" t="str">
        <f t="shared" si="0"/>
        <v>df</v>
      </c>
      <c r="H2" s="179" t="str">
        <f t="shared" si="0"/>
        <v>p.value</v>
      </c>
      <c r="I2" s="179" t="str">
        <f t="shared" si="0"/>
        <v>p.adj (BH)</v>
      </c>
      <c r="J2" s="179" t="str">
        <f t="shared" si="0"/>
        <v>signif.</v>
      </c>
      <c r="L2" s="47" t="s">
        <v>70</v>
      </c>
      <c r="M2" s="47" t="s">
        <v>71</v>
      </c>
      <c r="N2" s="47" t="s">
        <v>72</v>
      </c>
    </row>
    <row r="3" spans="1:26" s="245" customFormat="1" ht="15.75" customHeight="1" thickTop="1" thickBot="1" x14ac:dyDescent="0.3">
      <c r="A3" s="183" t="s">
        <v>58</v>
      </c>
      <c r="B3" s="184">
        <f t="shared" ref="B3:J3" si="1">B38</f>
        <v>84.262</v>
      </c>
      <c r="C3" s="184">
        <f t="shared" si="1"/>
        <v>80.634898090073094</v>
      </c>
      <c r="D3" s="184">
        <f t="shared" si="1"/>
        <v>87.889521622177298</v>
      </c>
      <c r="E3" s="183">
        <f t="shared" si="1"/>
        <v>1.657</v>
      </c>
      <c r="F3" s="183">
        <f t="shared" si="1"/>
        <v>50.838000000000001</v>
      </c>
      <c r="G3" s="183">
        <f t="shared" si="1"/>
        <v>11.54</v>
      </c>
      <c r="H3" s="270">
        <f t="shared" si="1"/>
        <v>6.1999999999999998E-15</v>
      </c>
      <c r="I3" s="270">
        <f t="shared" si="1"/>
        <v>2.5000000000000001E-14</v>
      </c>
      <c r="J3" s="186" t="str">
        <f t="shared" si="1"/>
        <v>p&lt;0.0001</v>
      </c>
      <c r="L3" s="210" t="s">
        <v>41</v>
      </c>
      <c r="M3" s="255">
        <f>[1]Mode_l_f0_r2!$B$3</f>
        <v>3.8351665334162899E-2</v>
      </c>
      <c r="N3" s="255">
        <f>[1]Mode_l_f0_r2!$B$2</f>
        <v>0.92799109672532598</v>
      </c>
    </row>
    <row r="4" spans="1:26" s="245" customFormat="1" ht="15.75" customHeight="1" thickBot="1" x14ac:dyDescent="0.3">
      <c r="A4" s="187" t="s">
        <v>59</v>
      </c>
      <c r="B4" s="187">
        <f t="shared" ref="B4:J4" si="2">B44</f>
        <v>90.093999999999994</v>
      </c>
      <c r="C4" s="187">
        <f t="shared" si="2"/>
        <v>86.076363660855506</v>
      </c>
      <c r="D4" s="187">
        <f t="shared" si="2"/>
        <v>94.112041878367805</v>
      </c>
      <c r="E4" s="188">
        <f t="shared" si="2"/>
        <v>1.78</v>
      </c>
      <c r="F4" s="188">
        <f t="shared" si="2"/>
        <v>50.613</v>
      </c>
      <c r="G4" s="188">
        <f t="shared" si="2"/>
        <v>9.1300000000000008</v>
      </c>
      <c r="H4" s="271">
        <f t="shared" si="2"/>
        <v>1.7E-12</v>
      </c>
      <c r="I4" s="271">
        <f t="shared" si="2"/>
        <v>3.4000000000000001E-12</v>
      </c>
      <c r="J4" s="190" t="str">
        <f t="shared" si="2"/>
        <v>p&lt;0.0001</v>
      </c>
      <c r="L4" s="213" t="s">
        <v>42</v>
      </c>
      <c r="M4" s="256">
        <f>[2]Mode_h_f0_r2!$B$3</f>
        <v>9.5347789908128699E-2</v>
      </c>
      <c r="N4" s="256">
        <f>[2]Mode_h_f0_r2!$B$2</f>
        <v>0.87755115375023396</v>
      </c>
    </row>
    <row r="5" spans="1:26" s="245" customFormat="1" ht="15.75" customHeight="1" thickBot="1" x14ac:dyDescent="0.3">
      <c r="A5" s="191" t="s">
        <v>46</v>
      </c>
      <c r="B5" s="191">
        <f t="shared" ref="B5:J5" si="3">B25</f>
        <v>66.206999999999994</v>
      </c>
      <c r="C5" s="191">
        <f t="shared" si="3"/>
        <v>43.514616892347199</v>
      </c>
      <c r="D5" s="191">
        <f t="shared" si="3"/>
        <v>88.899362418405701</v>
      </c>
      <c r="E5" s="187">
        <f t="shared" si="3"/>
        <v>10.45</v>
      </c>
      <c r="F5" s="188">
        <f t="shared" si="3"/>
        <v>6.3360000000000003</v>
      </c>
      <c r="G5" s="188">
        <f t="shared" si="3"/>
        <v>12.38</v>
      </c>
      <c r="H5" s="271">
        <f t="shared" si="3"/>
        <v>3.3000000000000003E-5</v>
      </c>
      <c r="I5" s="271">
        <f t="shared" si="3"/>
        <v>5.1999999999999997E-5</v>
      </c>
      <c r="J5" s="190" t="str">
        <f t="shared" si="3"/>
        <v>p&lt;0.0001</v>
      </c>
      <c r="L5" s="216" t="s">
        <v>4</v>
      </c>
      <c r="M5" s="256">
        <f>[3]Mode_l_t_r2!$B$3</f>
        <v>5.4608297896494802E-2</v>
      </c>
      <c r="N5" s="256">
        <f>[3]Mode_l_t_r2!$B$2</f>
        <v>0.77487713461109398</v>
      </c>
    </row>
    <row r="6" spans="1:26" s="245" customFormat="1" ht="15.75" customHeight="1" x14ac:dyDescent="0.25">
      <c r="A6" s="191" t="s">
        <v>45</v>
      </c>
      <c r="B6" s="191">
        <f t="shared" ref="B6:J6" si="4">B31</f>
        <v>267.09500000000003</v>
      </c>
      <c r="C6" s="191">
        <f t="shared" si="4"/>
        <v>186.65039216949501</v>
      </c>
      <c r="D6" s="191">
        <f t="shared" si="4"/>
        <v>347.53945100447299</v>
      </c>
      <c r="E6" s="187">
        <f t="shared" si="4"/>
        <v>31.193000000000001</v>
      </c>
      <c r="F6" s="188">
        <f t="shared" si="4"/>
        <v>8.5630000000000006</v>
      </c>
      <c r="G6" s="188">
        <f t="shared" si="4"/>
        <v>4.95</v>
      </c>
      <c r="H6" s="271">
        <f t="shared" si="4"/>
        <v>3.8000000000000002E-4</v>
      </c>
      <c r="I6" s="271">
        <f t="shared" si="4"/>
        <v>5.1999999999999995E-4</v>
      </c>
      <c r="J6" s="190" t="str">
        <f t="shared" si="4"/>
        <v>p&lt;0.001</v>
      </c>
      <c r="L6" s="217" t="s">
        <v>3</v>
      </c>
      <c r="M6" s="256">
        <f>[4]Mode_h_t_r2!$B$3</f>
        <v>9.8314637587148292E-3</v>
      </c>
      <c r="N6" s="256">
        <f>[4]Mode_h_t_r2!$B$2</f>
        <v>0.85446438419230797</v>
      </c>
    </row>
    <row r="7" spans="1:26" s="245" customFormat="1" ht="15.75" customHeight="1" thickBot="1" x14ac:dyDescent="0.3">
      <c r="A7" s="193" t="str">
        <f>A26</f>
        <v>MWH</v>
      </c>
      <c r="B7" s="193" t="s">
        <v>33</v>
      </c>
      <c r="C7" s="193" t="str">
        <f t="shared" ref="C7:J7" si="5">C$24</f>
        <v>2.5% CI</v>
      </c>
      <c r="D7" s="193" t="str">
        <f t="shared" si="5"/>
        <v>97.5% CI</v>
      </c>
      <c r="E7" s="193" t="str">
        <f t="shared" si="5"/>
        <v>std.error</v>
      </c>
      <c r="F7" s="193" t="str">
        <f t="shared" si="5"/>
        <v>z.value</v>
      </c>
      <c r="G7" s="193" t="str">
        <f t="shared" si="5"/>
        <v>df</v>
      </c>
      <c r="H7" s="193" t="str">
        <f t="shared" si="5"/>
        <v>p.value</v>
      </c>
      <c r="I7" s="193" t="str">
        <f t="shared" si="5"/>
        <v>p.adj (BH)</v>
      </c>
      <c r="J7" s="193" t="str">
        <f t="shared" si="5"/>
        <v>signif.</v>
      </c>
    </row>
    <row r="8" spans="1:26" s="245" customFormat="1" ht="15.75" customHeight="1" x14ac:dyDescent="0.25">
      <c r="A8" s="183" t="s">
        <v>58</v>
      </c>
      <c r="B8" s="184">
        <f t="shared" ref="B8:J8" si="6">B39</f>
        <v>84.387</v>
      </c>
      <c r="C8" s="184">
        <f t="shared" si="6"/>
        <v>80.759157436588893</v>
      </c>
      <c r="D8" s="184">
        <f t="shared" si="6"/>
        <v>88.013981670640902</v>
      </c>
      <c r="E8" s="183">
        <f t="shared" si="6"/>
        <v>1.6579999999999999</v>
      </c>
      <c r="F8" s="183">
        <f t="shared" si="6"/>
        <v>50.911000000000001</v>
      </c>
      <c r="G8" s="183">
        <f t="shared" si="6"/>
        <v>11.54</v>
      </c>
      <c r="H8" s="185">
        <f t="shared" si="6"/>
        <v>5.9999999999999997E-15</v>
      </c>
      <c r="I8" s="185">
        <f t="shared" si="6"/>
        <v>2.5000000000000001E-14</v>
      </c>
      <c r="J8" s="186" t="str">
        <f t="shared" si="6"/>
        <v>p&lt;0.0001</v>
      </c>
    </row>
    <row r="9" spans="1:26" s="245" customFormat="1" ht="15.75" customHeight="1" x14ac:dyDescent="0.25">
      <c r="A9" s="187" t="s">
        <v>59</v>
      </c>
      <c r="B9" s="187">
        <f t="shared" ref="B9:J9" si="7">B45</f>
        <v>90.501000000000005</v>
      </c>
      <c r="C9" s="187">
        <f t="shared" si="7"/>
        <v>86.482542607305106</v>
      </c>
      <c r="D9" s="187">
        <f t="shared" si="7"/>
        <v>94.518498929950795</v>
      </c>
      <c r="E9" s="188">
        <f t="shared" si="7"/>
        <v>1.78</v>
      </c>
      <c r="F9" s="188">
        <f t="shared" si="7"/>
        <v>50.837000000000003</v>
      </c>
      <c r="G9" s="188">
        <f t="shared" si="7"/>
        <v>9.14</v>
      </c>
      <c r="H9" s="189">
        <f t="shared" si="7"/>
        <v>1.6E-12</v>
      </c>
      <c r="I9" s="189">
        <f t="shared" si="7"/>
        <v>3.3000000000000001E-12</v>
      </c>
      <c r="J9" s="190" t="str">
        <f t="shared" si="7"/>
        <v>p&lt;0.0001</v>
      </c>
    </row>
    <row r="10" spans="1:26" s="245" customFormat="1" ht="15.75" customHeight="1" x14ac:dyDescent="0.25">
      <c r="A10" s="191" t="s">
        <v>46</v>
      </c>
      <c r="B10" s="191">
        <f t="shared" ref="B10:J10" si="8">B26</f>
        <v>66.611000000000004</v>
      </c>
      <c r="C10" s="191">
        <f t="shared" si="8"/>
        <v>43.916594525232803</v>
      </c>
      <c r="D10" s="191">
        <f t="shared" si="8"/>
        <v>89.304848267984895</v>
      </c>
      <c r="E10" s="187">
        <f t="shared" si="8"/>
        <v>10.451000000000001</v>
      </c>
      <c r="F10" s="188">
        <f t="shared" si="8"/>
        <v>6.3730000000000002</v>
      </c>
      <c r="G10" s="188">
        <f t="shared" si="8"/>
        <v>12.38</v>
      </c>
      <c r="H10" s="189">
        <f t="shared" si="8"/>
        <v>3.1000000000000001E-5</v>
      </c>
      <c r="I10" s="189">
        <f t="shared" si="8"/>
        <v>5.0000000000000002E-5</v>
      </c>
      <c r="J10" s="190" t="str">
        <f t="shared" si="8"/>
        <v>p&lt;0.0001</v>
      </c>
    </row>
    <row r="11" spans="1:26" s="245" customFormat="1" ht="15.75" customHeight="1" x14ac:dyDescent="0.25">
      <c r="A11" s="191" t="s">
        <v>45</v>
      </c>
      <c r="B11" s="191">
        <f t="shared" ref="B11:J11" si="9">B32</f>
        <v>266.72199999999998</v>
      </c>
      <c r="C11" s="191">
        <f t="shared" si="9"/>
        <v>186.278721708294</v>
      </c>
      <c r="D11" s="191">
        <f t="shared" si="9"/>
        <v>347.16607047559103</v>
      </c>
      <c r="E11" s="187">
        <f t="shared" si="9"/>
        <v>31.195</v>
      </c>
      <c r="F11" s="188">
        <f t="shared" si="9"/>
        <v>8.5500000000000007</v>
      </c>
      <c r="G11" s="188">
        <f t="shared" si="9"/>
        <v>4.95</v>
      </c>
      <c r="H11" s="189">
        <f t="shared" si="9"/>
        <v>3.8000000000000002E-4</v>
      </c>
      <c r="I11" s="189">
        <f t="shared" si="9"/>
        <v>5.1999999999999995E-4</v>
      </c>
      <c r="J11" s="190" t="str">
        <f t="shared" si="9"/>
        <v>p&lt;0.001</v>
      </c>
      <c r="K11" s="246"/>
      <c r="L11" s="247"/>
      <c r="M11" s="247"/>
      <c r="N11" s="248"/>
      <c r="Z11" s="248"/>
    </row>
    <row r="12" spans="1:26" s="245" customFormat="1" ht="15.75" customHeight="1" thickBot="1" x14ac:dyDescent="0.3">
      <c r="A12" s="193" t="str">
        <f>A27</f>
        <v>MYN</v>
      </c>
      <c r="B12" s="193" t="s">
        <v>33</v>
      </c>
      <c r="C12" s="193" t="str">
        <f t="shared" ref="C12:J12" si="10">C$24</f>
        <v>2.5% CI</v>
      </c>
      <c r="D12" s="193" t="str">
        <f t="shared" si="10"/>
        <v>97.5% CI</v>
      </c>
      <c r="E12" s="193" t="str">
        <f t="shared" si="10"/>
        <v>std.error</v>
      </c>
      <c r="F12" s="193" t="str">
        <f t="shared" si="10"/>
        <v>z.value</v>
      </c>
      <c r="G12" s="193" t="str">
        <f t="shared" si="10"/>
        <v>df</v>
      </c>
      <c r="H12" s="193" t="str">
        <f t="shared" si="10"/>
        <v>p.value</v>
      </c>
      <c r="I12" s="193" t="str">
        <f t="shared" si="10"/>
        <v>p.adj (BH)</v>
      </c>
      <c r="J12" s="193" t="str">
        <f t="shared" si="10"/>
        <v>signif.</v>
      </c>
      <c r="K12" s="246"/>
      <c r="L12" s="246"/>
      <c r="M12" s="247"/>
      <c r="N12" s="249"/>
      <c r="Z12" s="248"/>
    </row>
    <row r="13" spans="1:26" s="245" customFormat="1" ht="15.75" customHeight="1" x14ac:dyDescent="0.25">
      <c r="A13" s="183" t="s">
        <v>58</v>
      </c>
      <c r="B13" s="184">
        <f t="shared" ref="B13:J13" si="11">B40</f>
        <v>85.884</v>
      </c>
      <c r="C13" s="184">
        <f t="shared" si="11"/>
        <v>82.257315012199697</v>
      </c>
      <c r="D13" s="184">
        <f t="shared" si="11"/>
        <v>89.509953450877504</v>
      </c>
      <c r="E13" s="183">
        <f t="shared" si="11"/>
        <v>1.657</v>
      </c>
      <c r="F13" s="183">
        <f t="shared" si="11"/>
        <v>51.843000000000004</v>
      </c>
      <c r="G13" s="183">
        <f t="shared" si="11"/>
        <v>11.52</v>
      </c>
      <c r="H13" s="185">
        <f t="shared" si="11"/>
        <v>5.2000000000000001E-15</v>
      </c>
      <c r="I13" s="185">
        <f t="shared" si="11"/>
        <v>2.3999999999999999E-14</v>
      </c>
      <c r="J13" s="186" t="str">
        <f t="shared" si="11"/>
        <v>p&lt;0.0001</v>
      </c>
      <c r="K13" s="246"/>
      <c r="L13" s="246"/>
      <c r="M13" s="247"/>
      <c r="N13" s="249"/>
      <c r="Z13" s="248"/>
    </row>
    <row r="14" spans="1:26" s="245" customFormat="1" ht="15.75" customHeight="1" x14ac:dyDescent="0.25">
      <c r="A14" s="187" t="s">
        <v>59</v>
      </c>
      <c r="B14" s="187">
        <f t="shared" ref="B14:J14" si="12">B46</f>
        <v>91.813000000000002</v>
      </c>
      <c r="C14" s="187">
        <f t="shared" si="12"/>
        <v>87.796729947601094</v>
      </c>
      <c r="D14" s="187">
        <f t="shared" si="12"/>
        <v>95.829644685119007</v>
      </c>
      <c r="E14" s="188">
        <f t="shared" si="12"/>
        <v>1.7789999999999999</v>
      </c>
      <c r="F14" s="188">
        <f t="shared" si="12"/>
        <v>51.621000000000002</v>
      </c>
      <c r="G14" s="188">
        <f t="shared" si="12"/>
        <v>9.1</v>
      </c>
      <c r="H14" s="189">
        <f t="shared" si="12"/>
        <v>1.5000000000000001E-12</v>
      </c>
      <c r="I14" s="189">
        <f t="shared" si="12"/>
        <v>3.2000000000000001E-12</v>
      </c>
      <c r="J14" s="190" t="str">
        <f t="shared" si="12"/>
        <v>p&lt;0.0001</v>
      </c>
      <c r="K14" s="246"/>
      <c r="L14" s="246"/>
      <c r="M14" s="247"/>
      <c r="N14" s="249"/>
      <c r="Z14" s="248"/>
    </row>
    <row r="15" spans="1:26" s="245" customFormat="1" ht="15.75" customHeight="1" x14ac:dyDescent="0.25">
      <c r="A15" s="191" t="s">
        <v>46</v>
      </c>
      <c r="B15" s="191">
        <f t="shared" ref="B15:J15" si="13">B27</f>
        <v>63.911999999999999</v>
      </c>
      <c r="C15" s="191">
        <f t="shared" si="13"/>
        <v>41.242903273445002</v>
      </c>
      <c r="D15" s="191">
        <f t="shared" si="13"/>
        <v>86.580525272490505</v>
      </c>
      <c r="E15" s="187">
        <f t="shared" si="13"/>
        <v>10.433</v>
      </c>
      <c r="F15" s="188">
        <f t="shared" si="13"/>
        <v>6.1260000000000003</v>
      </c>
      <c r="G15" s="188">
        <f t="shared" si="13"/>
        <v>12.3</v>
      </c>
      <c r="H15" s="189">
        <f t="shared" si="13"/>
        <v>4.6E-5</v>
      </c>
      <c r="I15" s="189">
        <f t="shared" si="13"/>
        <v>6.9999999999999994E-5</v>
      </c>
      <c r="J15" s="190" t="str">
        <f t="shared" si="13"/>
        <v>p&lt;0.0001</v>
      </c>
      <c r="K15" s="246"/>
      <c r="L15" s="246"/>
      <c r="M15" s="247"/>
      <c r="N15" s="249"/>
      <c r="Z15" s="248"/>
    </row>
    <row r="16" spans="1:26" s="245" customFormat="1" ht="15.75" customHeight="1" x14ac:dyDescent="0.25">
      <c r="A16" s="191" t="s">
        <v>45</v>
      </c>
      <c r="B16" s="191">
        <f t="shared" ref="B16:J16" si="14">B28</f>
        <v>45.158999999999999</v>
      </c>
      <c r="C16" s="191">
        <f t="shared" si="14"/>
        <v>22.545726930497</v>
      </c>
      <c r="D16" s="191">
        <f t="shared" si="14"/>
        <v>67.771491195103906</v>
      </c>
      <c r="E16" s="187">
        <f t="shared" si="14"/>
        <v>10.391999999999999</v>
      </c>
      <c r="F16" s="188">
        <f t="shared" si="14"/>
        <v>4.3460000000000001</v>
      </c>
      <c r="G16" s="188">
        <f t="shared" si="14"/>
        <v>12.14</v>
      </c>
      <c r="H16" s="189">
        <f t="shared" si="14"/>
        <v>9.3000000000000005E-4</v>
      </c>
      <c r="I16" s="189">
        <f t="shared" si="14"/>
        <v>1E-3</v>
      </c>
      <c r="J16" s="190" t="str">
        <f t="shared" si="14"/>
        <v>p&lt;0.01</v>
      </c>
      <c r="K16" s="246"/>
      <c r="L16" s="246"/>
      <c r="M16" s="247"/>
      <c r="N16" s="249"/>
      <c r="Z16" s="248"/>
    </row>
    <row r="17" spans="1:52" s="245" customFormat="1" ht="15.75" customHeight="1" thickBot="1" x14ac:dyDescent="0.3">
      <c r="A17" s="193" t="str">
        <f>A33</f>
        <v>MYN</v>
      </c>
      <c r="B17" s="193" t="s">
        <v>33</v>
      </c>
      <c r="C17" s="193" t="str">
        <f t="shared" ref="C17:J17" si="15">C$24</f>
        <v>2.5% CI</v>
      </c>
      <c r="D17" s="193" t="str">
        <f t="shared" si="15"/>
        <v>97.5% CI</v>
      </c>
      <c r="E17" s="193" t="str">
        <f t="shared" si="15"/>
        <v>std.error</v>
      </c>
      <c r="F17" s="193" t="str">
        <f t="shared" si="15"/>
        <v>z.value</v>
      </c>
      <c r="G17" s="193" t="str">
        <f t="shared" si="15"/>
        <v>df</v>
      </c>
      <c r="H17" s="193" t="str">
        <f t="shared" si="15"/>
        <v>p.value</v>
      </c>
      <c r="I17" s="193" t="str">
        <f t="shared" si="15"/>
        <v>p.adj (BH)</v>
      </c>
      <c r="J17" s="193" t="str">
        <f t="shared" si="15"/>
        <v>signif.</v>
      </c>
      <c r="K17" s="246"/>
      <c r="L17" s="246"/>
      <c r="M17" s="247"/>
      <c r="N17" s="249"/>
      <c r="Z17" s="248"/>
    </row>
    <row r="18" spans="1:52" s="245" customFormat="1" ht="15.75" customHeight="1" x14ac:dyDescent="0.25">
      <c r="A18" s="183" t="s">
        <v>58</v>
      </c>
      <c r="B18" s="184">
        <f t="shared" ref="B18:J18" si="16">B41</f>
        <v>86.745000000000005</v>
      </c>
      <c r="C18" s="184">
        <f t="shared" si="16"/>
        <v>83.120559517265207</v>
      </c>
      <c r="D18" s="184">
        <f t="shared" si="16"/>
        <v>90.369299039297601</v>
      </c>
      <c r="E18" s="183">
        <f t="shared" si="16"/>
        <v>1.655</v>
      </c>
      <c r="F18" s="183">
        <f t="shared" si="16"/>
        <v>52.414000000000001</v>
      </c>
      <c r="G18" s="183">
        <f t="shared" si="16"/>
        <v>11.47</v>
      </c>
      <c r="H18" s="185">
        <f t="shared" si="16"/>
        <v>5.1E-15</v>
      </c>
      <c r="I18" s="185">
        <f t="shared" si="16"/>
        <v>2.3999999999999999E-14</v>
      </c>
      <c r="J18" s="186" t="str">
        <f t="shared" si="16"/>
        <v>p&lt;0.0001</v>
      </c>
      <c r="K18" s="246"/>
      <c r="L18" s="246"/>
      <c r="M18" s="247"/>
      <c r="N18" s="249"/>
      <c r="Z18" s="248"/>
    </row>
    <row r="19" spans="1:52" s="245" customFormat="1" ht="15.75" customHeight="1" x14ac:dyDescent="0.25">
      <c r="A19" s="187" t="s">
        <v>59</v>
      </c>
      <c r="B19" s="187">
        <f t="shared" ref="B19:J19" si="17">B47</f>
        <v>94.606999999999999</v>
      </c>
      <c r="C19" s="187">
        <f t="shared" si="17"/>
        <v>90.593224015084004</v>
      </c>
      <c r="D19" s="187">
        <f t="shared" si="17"/>
        <v>98.620264099471996</v>
      </c>
      <c r="E19" s="188">
        <f t="shared" si="17"/>
        <v>1.776</v>
      </c>
      <c r="F19" s="188">
        <f t="shared" si="17"/>
        <v>53.283999999999999</v>
      </c>
      <c r="G19" s="188">
        <f t="shared" si="17"/>
        <v>9.0399999999999991</v>
      </c>
      <c r="H19" s="189">
        <f t="shared" si="17"/>
        <v>1.2999999999999999E-12</v>
      </c>
      <c r="I19" s="189">
        <f t="shared" si="17"/>
        <v>2.9000000000000002E-12</v>
      </c>
      <c r="J19" s="190" t="str">
        <f t="shared" si="17"/>
        <v>p&lt;0.0001</v>
      </c>
      <c r="K19" s="246"/>
      <c r="L19" s="246"/>
      <c r="M19" s="247"/>
      <c r="N19" s="249"/>
      <c r="Z19" s="248"/>
    </row>
    <row r="20" spans="1:52" s="245" customFormat="1" ht="15.75" customHeight="1" x14ac:dyDescent="0.25">
      <c r="A20" s="191" t="s">
        <v>46</v>
      </c>
      <c r="B20" s="191">
        <f t="shared" ref="B20:J20" si="18">B28</f>
        <v>45.158999999999999</v>
      </c>
      <c r="C20" s="191">
        <f t="shared" si="18"/>
        <v>22.545726930497</v>
      </c>
      <c r="D20" s="191">
        <f t="shared" si="18"/>
        <v>67.771491195103906</v>
      </c>
      <c r="E20" s="187">
        <f t="shared" si="18"/>
        <v>10.391999999999999</v>
      </c>
      <c r="F20" s="188">
        <f t="shared" si="18"/>
        <v>4.3460000000000001</v>
      </c>
      <c r="G20" s="188">
        <f t="shared" si="18"/>
        <v>12.14</v>
      </c>
      <c r="H20" s="189">
        <f t="shared" si="18"/>
        <v>9.3000000000000005E-4</v>
      </c>
      <c r="I20" s="189">
        <f t="shared" si="18"/>
        <v>1E-3</v>
      </c>
      <c r="J20" s="190" t="str">
        <f t="shared" si="18"/>
        <v>p&lt;0.01</v>
      </c>
      <c r="K20" s="246"/>
      <c r="L20" s="246"/>
      <c r="M20" s="247"/>
      <c r="N20" s="249"/>
      <c r="Z20" s="248"/>
    </row>
    <row r="21" spans="1:52" s="245" customFormat="1" ht="15.75" customHeight="1" x14ac:dyDescent="0.25">
      <c r="A21" s="191" t="s">
        <v>45</v>
      </c>
      <c r="B21" s="191">
        <f t="shared" ref="B21:J21" si="19">B34</f>
        <v>250.261</v>
      </c>
      <c r="C21" s="191">
        <f t="shared" si="19"/>
        <v>169.79078240875299</v>
      </c>
      <c r="D21" s="191">
        <f t="shared" si="19"/>
        <v>330.73051939626401</v>
      </c>
      <c r="E21" s="187">
        <f t="shared" si="19"/>
        <v>31.146000000000001</v>
      </c>
      <c r="F21" s="188">
        <f t="shared" si="19"/>
        <v>8.0350000000000001</v>
      </c>
      <c r="G21" s="188">
        <f t="shared" si="19"/>
        <v>4.92</v>
      </c>
      <c r="H21" s="192">
        <f t="shared" si="19"/>
        <v>5.1999999999999995E-4</v>
      </c>
      <c r="I21" s="192">
        <f t="shared" si="19"/>
        <v>6.0999999999999997E-4</v>
      </c>
      <c r="J21" s="190" t="str">
        <f t="shared" si="19"/>
        <v>p&lt;0.001</v>
      </c>
      <c r="K21" s="246"/>
      <c r="L21" s="246"/>
      <c r="M21" s="247"/>
      <c r="N21" s="249"/>
      <c r="Z21" s="248"/>
    </row>
    <row r="22" spans="1:52" x14ac:dyDescent="0.25">
      <c r="D22" s="119"/>
    </row>
    <row r="23" spans="1:52" s="4" customFormat="1" ht="26.25" x14ac:dyDescent="0.25">
      <c r="A23" s="134" t="s">
        <v>10</v>
      </c>
      <c r="AB23" s="126"/>
    </row>
    <row r="24" spans="1:52" s="144" customFormat="1" x14ac:dyDescent="0.25">
      <c r="A24" s="147" t="s">
        <v>0</v>
      </c>
      <c r="B24" s="128" t="s">
        <v>51</v>
      </c>
      <c r="C24" s="128" t="s">
        <v>7</v>
      </c>
      <c r="D24" s="128" t="s">
        <v>8</v>
      </c>
      <c r="E24" s="128" t="s">
        <v>5</v>
      </c>
      <c r="F24" s="128" t="s">
        <v>50</v>
      </c>
      <c r="G24" s="128" t="s">
        <v>9</v>
      </c>
      <c r="H24" s="128" t="s">
        <v>49</v>
      </c>
      <c r="I24" s="128" t="s">
        <v>48</v>
      </c>
      <c r="J24" s="128" t="s">
        <v>47</v>
      </c>
      <c r="K24" s="128" t="s">
        <v>22</v>
      </c>
      <c r="Y24" s="145"/>
    </row>
    <row r="25" spans="1:52" s="120" customFormat="1" x14ac:dyDescent="0.25">
      <c r="A25" s="39" t="s">
        <v>14</v>
      </c>
      <c r="B25" s="39">
        <f>[5]Mode_l_t_b0!B2</f>
        <v>66.206999999999994</v>
      </c>
      <c r="C25" s="142">
        <f>[5]Mode_l_t_b0!C2</f>
        <v>43.514616892347199</v>
      </c>
      <c r="D25" s="142">
        <f>[5]Mode_l_t_b0!D2</f>
        <v>88.899362418405701</v>
      </c>
      <c r="E25" s="142">
        <f>[5]Mode_l_t_b0!E2</f>
        <v>10.45</v>
      </c>
      <c r="F25" s="142">
        <f>[5]Mode_l_t_b0!F2</f>
        <v>6.3360000000000003</v>
      </c>
      <c r="G25" s="142">
        <f>[5]Mode_l_t_b0!G2</f>
        <v>12.38</v>
      </c>
      <c r="H25" s="141">
        <f>[5]Mode_l_t_b0!H2</f>
        <v>3.3000000000000003E-5</v>
      </c>
      <c r="I25" s="140">
        <f>[5]Mode_l_t_b0!I2</f>
        <v>5.1999999999999997E-5</v>
      </c>
      <c r="J25" s="139" t="str">
        <f>[5]Mode_l_t_b0!J2</f>
        <v>p&lt;0.0001</v>
      </c>
      <c r="K25" s="122">
        <f>Table510[[#This Row],[estimate]]-Table510[[#This Row],[2.5% CI]]</f>
        <v>22.692383107652795</v>
      </c>
      <c r="L25" s="143"/>
      <c r="X25" s="143"/>
      <c r="Y25" s="138"/>
      <c r="Z25" s="143"/>
      <c r="AH25" s="143"/>
      <c r="AI25" s="143"/>
    </row>
    <row r="26" spans="1:52" s="120" customFormat="1" x14ac:dyDescent="0.25">
      <c r="A26" s="39" t="s">
        <v>15</v>
      </c>
      <c r="B26" s="39">
        <f>[5]Mode_l_t_b0!B3</f>
        <v>66.611000000000004</v>
      </c>
      <c r="C26" s="142">
        <f>[5]Mode_l_t_b0!C3</f>
        <v>43.916594525232803</v>
      </c>
      <c r="D26" s="142">
        <f>[5]Mode_l_t_b0!D3</f>
        <v>89.304848267984895</v>
      </c>
      <c r="E26" s="142">
        <f>[5]Mode_l_t_b0!E3</f>
        <v>10.451000000000001</v>
      </c>
      <c r="F26" s="142">
        <f>[5]Mode_l_t_b0!F3</f>
        <v>6.3730000000000002</v>
      </c>
      <c r="G26" s="142">
        <f>[5]Mode_l_t_b0!G3</f>
        <v>12.38</v>
      </c>
      <c r="H26" s="141">
        <f>[5]Mode_l_t_b0!H3</f>
        <v>3.1000000000000001E-5</v>
      </c>
      <c r="I26" s="140">
        <f>[5]Mode_l_t_b0!I3</f>
        <v>5.0000000000000002E-5</v>
      </c>
      <c r="J26" s="139" t="str">
        <f>[5]Mode_l_t_b0!J3</f>
        <v>p&lt;0.0001</v>
      </c>
      <c r="K26" s="122">
        <f>Table510[[#This Row],[estimate]]-Table510[[#This Row],[2.5% CI]]</f>
        <v>22.694405474767201</v>
      </c>
      <c r="L26" s="143"/>
      <c r="X26" s="143"/>
      <c r="Y26" s="138"/>
      <c r="Z26" s="143"/>
      <c r="AH26" s="143"/>
      <c r="AI26" s="143"/>
      <c r="AQ26" s="143"/>
    </row>
    <row r="27" spans="1:52" s="120" customFormat="1" x14ac:dyDescent="0.25">
      <c r="A27" s="39" t="s">
        <v>16</v>
      </c>
      <c r="B27" s="39">
        <f>[5]Mode_l_t_b0!B4</f>
        <v>63.911999999999999</v>
      </c>
      <c r="C27" s="142">
        <f>[5]Mode_l_t_b0!C4</f>
        <v>41.242903273445002</v>
      </c>
      <c r="D27" s="142">
        <f>[5]Mode_l_t_b0!D4</f>
        <v>86.580525272490505</v>
      </c>
      <c r="E27" s="142">
        <f>[5]Mode_l_t_b0!E4</f>
        <v>10.433</v>
      </c>
      <c r="F27" s="142">
        <f>[5]Mode_l_t_b0!F4</f>
        <v>6.1260000000000003</v>
      </c>
      <c r="G27" s="142">
        <f>[5]Mode_l_t_b0!G4</f>
        <v>12.3</v>
      </c>
      <c r="H27" s="141">
        <f>[5]Mode_l_t_b0!H4</f>
        <v>4.6E-5</v>
      </c>
      <c r="I27" s="140">
        <f>[5]Mode_l_t_b0!I4</f>
        <v>6.9999999999999994E-5</v>
      </c>
      <c r="J27" s="139" t="str">
        <f>[5]Mode_l_t_b0!J4</f>
        <v>p&lt;0.0001</v>
      </c>
      <c r="K27" s="122">
        <f>Table510[[#This Row],[estimate]]-Table510[[#This Row],[2.5% CI]]</f>
        <v>22.669096726554997</v>
      </c>
      <c r="L27" s="143"/>
      <c r="X27" s="143"/>
      <c r="Y27" s="138"/>
      <c r="Z27" s="143"/>
      <c r="AH27" s="143"/>
      <c r="AI27" s="143"/>
      <c r="AZ27" s="143"/>
    </row>
    <row r="28" spans="1:52" s="120" customFormat="1" x14ac:dyDescent="0.25">
      <c r="A28" s="40" t="s">
        <v>17</v>
      </c>
      <c r="B28" s="40">
        <f>[5]Mode_l_t_b0!B5</f>
        <v>45.158999999999999</v>
      </c>
      <c r="C28" s="142">
        <f>[5]Mode_l_t_b0!C5</f>
        <v>22.545726930497</v>
      </c>
      <c r="D28" s="142">
        <f>[5]Mode_l_t_b0!D5</f>
        <v>67.771491195103906</v>
      </c>
      <c r="E28" s="142">
        <f>[5]Mode_l_t_b0!E5</f>
        <v>10.391999999999999</v>
      </c>
      <c r="F28" s="142">
        <f>[5]Mode_l_t_b0!F5</f>
        <v>4.3460000000000001</v>
      </c>
      <c r="G28" s="142">
        <f>[5]Mode_l_t_b0!G5</f>
        <v>12.14</v>
      </c>
      <c r="H28" s="141">
        <f>[5]Mode_l_t_b0!H5</f>
        <v>9.3000000000000005E-4</v>
      </c>
      <c r="I28" s="140">
        <f>[5]Mode_l_t_b0!I5</f>
        <v>1E-3</v>
      </c>
      <c r="J28" s="139" t="str">
        <f>[5]Mode_l_t_b0!J5</f>
        <v>p&lt;0.01</v>
      </c>
      <c r="K28" s="122">
        <f>Table510[[#This Row],[estimate]]-Table510[[#This Row],[2.5% CI]]</f>
        <v>22.613273069502998</v>
      </c>
      <c r="Y28" s="138"/>
    </row>
    <row r="29" spans="1:52" s="120" customFormat="1" ht="26.25" x14ac:dyDescent="0.25">
      <c r="A29" s="134" t="s">
        <v>11</v>
      </c>
      <c r="B29" s="134"/>
      <c r="C29" s="135"/>
      <c r="D29" s="135"/>
      <c r="E29" s="135"/>
      <c r="F29" s="4"/>
      <c r="G29" s="4"/>
      <c r="H29" s="4"/>
      <c r="I29" s="4"/>
      <c r="J29" s="133"/>
      <c r="K29" s="137"/>
      <c r="L29" s="136"/>
      <c r="AC29" s="132"/>
    </row>
    <row r="30" spans="1:52" s="4" customFormat="1" ht="26.25" x14ac:dyDescent="0.25">
      <c r="A30" s="131" t="s">
        <v>0</v>
      </c>
      <c r="B30" s="127" t="s">
        <v>51</v>
      </c>
      <c r="C30" s="129" t="s">
        <v>7</v>
      </c>
      <c r="D30" s="129" t="s">
        <v>8</v>
      </c>
      <c r="E30" s="129" t="s">
        <v>5</v>
      </c>
      <c r="F30" s="128" t="s">
        <v>50</v>
      </c>
      <c r="G30" s="128" t="s">
        <v>9</v>
      </c>
      <c r="H30" s="128" t="s">
        <v>49</v>
      </c>
      <c r="I30" s="128" t="s">
        <v>48</v>
      </c>
      <c r="J30" s="128" t="s">
        <v>47</v>
      </c>
      <c r="K30" s="127" t="s">
        <v>22</v>
      </c>
      <c r="AB30" s="126"/>
    </row>
    <row r="31" spans="1:52" x14ac:dyDescent="0.25">
      <c r="A31" s="39" t="str">
        <f>A25</f>
        <v>MDC</v>
      </c>
      <c r="B31" s="39">
        <f>[6]Mode_h_t_b0!B2</f>
        <v>267.09500000000003</v>
      </c>
      <c r="C31" s="14">
        <f>[6]Mode_h_t_b0!C2</f>
        <v>186.65039216949501</v>
      </c>
      <c r="D31" s="14">
        <f>[6]Mode_h_t_b0!D2</f>
        <v>347.53945100447299</v>
      </c>
      <c r="E31" s="14">
        <f>[6]Mode_h_t_b0!E2</f>
        <v>31.193000000000001</v>
      </c>
      <c r="F31" s="15">
        <f>[6]Mode_h_t_b0!F2</f>
        <v>8.5630000000000006</v>
      </c>
      <c r="G31" s="15">
        <f>[6]Mode_h_t_b0!G2</f>
        <v>4.95</v>
      </c>
      <c r="H31" s="123">
        <f>[6]Mode_h_t_b0!H2</f>
        <v>3.8000000000000002E-4</v>
      </c>
      <c r="I31" s="123">
        <f>[6]Mode_h_t_b0!I2</f>
        <v>5.1999999999999995E-4</v>
      </c>
      <c r="J31" s="15" t="str">
        <f>[6]Mode_h_t_b0!J2</f>
        <v>p&lt;0.001</v>
      </c>
      <c r="K31" s="122">
        <f>B31-C31</f>
        <v>80.444607830505021</v>
      </c>
      <c r="L31" s="114"/>
      <c r="M31" s="114"/>
      <c r="N31" s="114"/>
      <c r="O31" s="114"/>
      <c r="P31" s="114"/>
      <c r="Y31" s="118"/>
      <c r="AB31" s="114"/>
    </row>
    <row r="32" spans="1:52" s="120" customFormat="1" x14ac:dyDescent="0.25">
      <c r="A32" s="39" t="str">
        <f>A26</f>
        <v>MWH</v>
      </c>
      <c r="B32" s="39">
        <f>[6]Mode_h_t_b0!B3</f>
        <v>266.72199999999998</v>
      </c>
      <c r="C32" s="14">
        <f>[6]Mode_h_t_b0!C3</f>
        <v>186.278721708294</v>
      </c>
      <c r="D32" s="14">
        <f>[6]Mode_h_t_b0!D3</f>
        <v>347.16607047559103</v>
      </c>
      <c r="E32" s="14">
        <f>[6]Mode_h_t_b0!E3</f>
        <v>31.195</v>
      </c>
      <c r="F32" s="15">
        <f>[6]Mode_h_t_b0!F3</f>
        <v>8.5500000000000007</v>
      </c>
      <c r="G32" s="15">
        <f>[6]Mode_h_t_b0!G3</f>
        <v>4.95</v>
      </c>
      <c r="H32" s="123">
        <f>[6]Mode_h_t_b0!H3</f>
        <v>3.8000000000000002E-4</v>
      </c>
      <c r="I32" s="123">
        <f>[6]Mode_h_t_b0!I3</f>
        <v>5.1999999999999995E-4</v>
      </c>
      <c r="J32" s="15" t="str">
        <f>[6]Mode_h_t_b0!J3</f>
        <v>p&lt;0.001</v>
      </c>
      <c r="K32" s="122">
        <f>B32-C32</f>
        <v>80.44327829170598</v>
      </c>
      <c r="Y32" s="121"/>
    </row>
    <row r="33" spans="1:25" s="120" customFormat="1" x14ac:dyDescent="0.25">
      <c r="A33" s="39" t="str">
        <f>A27</f>
        <v>MYN</v>
      </c>
      <c r="B33" s="39">
        <f>[6]Mode_h_t_b0!B4</f>
        <v>264.61700000000002</v>
      </c>
      <c r="C33" s="14">
        <f>[6]Mode_h_t_b0!C4</f>
        <v>184.165229815256</v>
      </c>
      <c r="D33" s="14">
        <f>[6]Mode_h_t_b0!D4</f>
        <v>345.06958318293903</v>
      </c>
      <c r="E33" s="14">
        <f>[6]Mode_h_t_b0!E4</f>
        <v>31.178999999999998</v>
      </c>
      <c r="F33" s="15">
        <f>[6]Mode_h_t_b0!F4</f>
        <v>8.4870000000000001</v>
      </c>
      <c r="G33" s="15">
        <f>[6]Mode_h_t_b0!G4</f>
        <v>4.9400000000000004</v>
      </c>
      <c r="H33" s="123">
        <f>[6]Mode_h_t_b0!H4</f>
        <v>4.0000000000000002E-4</v>
      </c>
      <c r="I33" s="123">
        <f>[6]Mode_h_t_b0!I4</f>
        <v>5.2999999999999998E-4</v>
      </c>
      <c r="J33" s="15" t="str">
        <f>[6]Mode_h_t_b0!J4</f>
        <v>p&lt;0.001</v>
      </c>
      <c r="K33" s="122">
        <f>B33-C33</f>
        <v>80.451770184744021</v>
      </c>
      <c r="Y33" s="121"/>
    </row>
    <row r="34" spans="1:25" s="120" customFormat="1" x14ac:dyDescent="0.25">
      <c r="A34" s="39" t="str">
        <f>A28</f>
        <v>MDQ</v>
      </c>
      <c r="B34" s="40">
        <f>[6]Mode_h_t_b0!B5</f>
        <v>250.261</v>
      </c>
      <c r="C34" s="14">
        <f>[6]Mode_h_t_b0!C5</f>
        <v>169.79078240875299</v>
      </c>
      <c r="D34" s="14">
        <f>[6]Mode_h_t_b0!D5</f>
        <v>330.73051939626401</v>
      </c>
      <c r="E34" s="14">
        <f>[6]Mode_h_t_b0!E5</f>
        <v>31.146000000000001</v>
      </c>
      <c r="F34" s="15">
        <f>[6]Mode_h_t_b0!F5</f>
        <v>8.0350000000000001</v>
      </c>
      <c r="G34" s="15">
        <f>[6]Mode_h_t_b0!G5</f>
        <v>4.92</v>
      </c>
      <c r="H34" s="123">
        <f>[6]Mode_h_t_b0!H5</f>
        <v>5.1999999999999995E-4</v>
      </c>
      <c r="I34" s="123">
        <f>[6]Mode_h_t_b0!I5</f>
        <v>6.0999999999999997E-4</v>
      </c>
      <c r="J34" s="15" t="str">
        <f>[6]Mode_h_t_b0!J5</f>
        <v>p&lt;0.001</v>
      </c>
      <c r="K34" s="122">
        <f>B34-C34</f>
        <v>80.470217591247007</v>
      </c>
      <c r="Y34" s="121"/>
    </row>
    <row r="35" spans="1:25" x14ac:dyDescent="0.25">
      <c r="D35" s="119"/>
    </row>
    <row r="36" spans="1:25" ht="30.75" x14ac:dyDescent="0.25">
      <c r="A36" s="134" t="s">
        <v>12</v>
      </c>
      <c r="B36" s="4"/>
      <c r="C36" s="135"/>
      <c r="D36" s="148"/>
      <c r="E36" s="4"/>
      <c r="F36" s="4"/>
      <c r="G36" s="4"/>
      <c r="H36" s="4"/>
      <c r="I36" s="4"/>
      <c r="J36" s="4"/>
      <c r="K36" s="4"/>
    </row>
    <row r="37" spans="1:25" x14ac:dyDescent="0.25">
      <c r="A37" s="146" t="s">
        <v>0</v>
      </c>
      <c r="B37" s="128" t="s">
        <v>51</v>
      </c>
      <c r="C37" s="128" t="s">
        <v>7</v>
      </c>
      <c r="D37" s="128" t="s">
        <v>8</v>
      </c>
      <c r="E37" s="128" t="s">
        <v>5</v>
      </c>
      <c r="F37" s="128" t="s">
        <v>50</v>
      </c>
      <c r="G37" s="128" t="s">
        <v>9</v>
      </c>
      <c r="H37" s="128" t="s">
        <v>49</v>
      </c>
      <c r="I37" s="128" t="s">
        <v>48</v>
      </c>
      <c r="J37" s="128" t="s">
        <v>47</v>
      </c>
      <c r="K37" s="128" t="s">
        <v>22</v>
      </c>
    </row>
    <row r="38" spans="1:25" x14ac:dyDescent="0.25">
      <c r="A38" s="39" t="str">
        <f t="shared" ref="A38:A41" si="20">A31</f>
        <v>MDC</v>
      </c>
      <c r="B38" s="125">
        <f>[7]Mode_l_f0_b0!B2</f>
        <v>84.262</v>
      </c>
      <c r="C38" s="14">
        <f>[7]Mode_l_f0_b0!C2</f>
        <v>80.634898090073094</v>
      </c>
      <c r="D38" s="14">
        <f>[7]Mode_l_f0_b0!D2</f>
        <v>87.889521622177298</v>
      </c>
      <c r="E38" s="14">
        <f>[7]Mode_l_f0_b0!E2</f>
        <v>1.657</v>
      </c>
      <c r="F38" s="15">
        <f>[7]Mode_l_f0_b0!F2</f>
        <v>50.838000000000001</v>
      </c>
      <c r="G38" s="15">
        <f>[7]Mode_l_f0_b0!G2</f>
        <v>11.54</v>
      </c>
      <c r="H38" s="123">
        <f>[7]Mode_l_f0_b0!H2</f>
        <v>6.1999999999999998E-15</v>
      </c>
      <c r="I38" s="123">
        <f>[7]Mode_l_f0_b0!I2</f>
        <v>2.5000000000000001E-14</v>
      </c>
      <c r="J38" s="15" t="str">
        <f>[7]Mode_l_f0_b0!J2</f>
        <v>p&lt;0.0001</v>
      </c>
      <c r="K38" s="122">
        <f>B38-C38</f>
        <v>3.6271019099269068</v>
      </c>
    </row>
    <row r="39" spans="1:25" x14ac:dyDescent="0.25">
      <c r="A39" s="39" t="str">
        <f t="shared" si="20"/>
        <v>MWH</v>
      </c>
      <c r="B39" s="125">
        <f>[7]Mode_l_f0_b0!B3</f>
        <v>84.387</v>
      </c>
      <c r="C39" s="14">
        <f>[7]Mode_l_f0_b0!C3</f>
        <v>80.759157436588893</v>
      </c>
      <c r="D39" s="14">
        <f>[7]Mode_l_f0_b0!D3</f>
        <v>88.013981670640902</v>
      </c>
      <c r="E39" s="14">
        <f>[7]Mode_l_f0_b0!E3</f>
        <v>1.6579999999999999</v>
      </c>
      <c r="F39" s="15">
        <f>[7]Mode_l_f0_b0!F3</f>
        <v>50.911000000000001</v>
      </c>
      <c r="G39" s="15">
        <f>[7]Mode_l_f0_b0!G3</f>
        <v>11.54</v>
      </c>
      <c r="H39" s="123">
        <f>[7]Mode_l_f0_b0!H3</f>
        <v>5.9999999999999997E-15</v>
      </c>
      <c r="I39" s="123">
        <f>[7]Mode_l_f0_b0!I3</f>
        <v>2.5000000000000001E-14</v>
      </c>
      <c r="J39" s="15" t="str">
        <f>[7]Mode_l_f0_b0!J3</f>
        <v>p&lt;0.0001</v>
      </c>
      <c r="K39" s="122">
        <f>B39-C39</f>
        <v>3.6278425634111073</v>
      </c>
    </row>
    <row r="40" spans="1:25" x14ac:dyDescent="0.25">
      <c r="A40" s="39" t="str">
        <f t="shared" si="20"/>
        <v>MYN</v>
      </c>
      <c r="B40" s="125">
        <f>[7]Mode_l_f0_b0!B4</f>
        <v>85.884</v>
      </c>
      <c r="C40" s="14">
        <f>[7]Mode_l_f0_b0!C4</f>
        <v>82.257315012199697</v>
      </c>
      <c r="D40" s="14">
        <f>[7]Mode_l_f0_b0!D4</f>
        <v>89.509953450877504</v>
      </c>
      <c r="E40" s="14">
        <f>[7]Mode_l_f0_b0!E4</f>
        <v>1.657</v>
      </c>
      <c r="F40" s="15">
        <f>[7]Mode_l_f0_b0!F4</f>
        <v>51.843000000000004</v>
      </c>
      <c r="G40" s="15">
        <f>[7]Mode_l_f0_b0!G4</f>
        <v>11.52</v>
      </c>
      <c r="H40" s="123">
        <f>[7]Mode_l_f0_b0!H4</f>
        <v>5.2000000000000001E-15</v>
      </c>
      <c r="I40" s="123">
        <f>[7]Mode_l_f0_b0!I4</f>
        <v>2.3999999999999999E-14</v>
      </c>
      <c r="J40" s="15" t="str">
        <f>[7]Mode_l_f0_b0!J4</f>
        <v>p&lt;0.0001</v>
      </c>
      <c r="K40" s="122">
        <f>B40-C40</f>
        <v>3.6266849878003029</v>
      </c>
    </row>
    <row r="41" spans="1:25" x14ac:dyDescent="0.25">
      <c r="A41" s="39" t="str">
        <f t="shared" si="20"/>
        <v>MDQ</v>
      </c>
      <c r="B41" s="124">
        <f>[7]Mode_l_f0_b0!B5</f>
        <v>86.745000000000005</v>
      </c>
      <c r="C41" s="14">
        <f>[7]Mode_l_f0_b0!C5</f>
        <v>83.120559517265207</v>
      </c>
      <c r="D41" s="14">
        <f>[7]Mode_l_f0_b0!D5</f>
        <v>90.369299039297601</v>
      </c>
      <c r="E41" s="14">
        <f>[7]Mode_l_f0_b0!E5</f>
        <v>1.655</v>
      </c>
      <c r="F41" s="15">
        <f>[7]Mode_l_f0_b0!F5</f>
        <v>52.414000000000001</v>
      </c>
      <c r="G41" s="15">
        <f>[7]Mode_l_f0_b0!G5</f>
        <v>11.47</v>
      </c>
      <c r="H41" s="123">
        <f>[7]Mode_l_f0_b0!H5</f>
        <v>5.1E-15</v>
      </c>
      <c r="I41" s="123">
        <f>[7]Mode_l_f0_b0!I5</f>
        <v>2.3999999999999999E-14</v>
      </c>
      <c r="J41" s="15" t="str">
        <f>[7]Mode_l_f0_b0!J5</f>
        <v>p&lt;0.0001</v>
      </c>
      <c r="K41" s="122">
        <f>B41-C41</f>
        <v>3.6244404827347978</v>
      </c>
    </row>
    <row r="42" spans="1:25" ht="30.75" x14ac:dyDescent="0.25">
      <c r="A42" s="134" t="s">
        <v>13</v>
      </c>
      <c r="B42" s="135"/>
      <c r="C42" s="134"/>
      <c r="D42" s="133"/>
      <c r="E42" s="4"/>
      <c r="F42" s="4"/>
      <c r="G42" s="4"/>
      <c r="H42" s="4"/>
      <c r="I42" s="4"/>
      <c r="J42" s="4"/>
      <c r="K42" s="4"/>
    </row>
    <row r="43" spans="1:25" x14ac:dyDescent="0.25">
      <c r="A43" s="131" t="s">
        <v>0</v>
      </c>
      <c r="B43" s="130" t="s">
        <v>51</v>
      </c>
      <c r="C43" s="129" t="s">
        <v>7</v>
      </c>
      <c r="D43" s="129" t="s">
        <v>8</v>
      </c>
      <c r="E43" s="129" t="s">
        <v>5</v>
      </c>
      <c r="F43" s="128" t="s">
        <v>50</v>
      </c>
      <c r="G43" s="128" t="s">
        <v>9</v>
      </c>
      <c r="H43" s="128" t="s">
        <v>49</v>
      </c>
      <c r="I43" s="128" t="s">
        <v>48</v>
      </c>
      <c r="J43" s="128" t="s">
        <v>47</v>
      </c>
      <c r="K43" s="127" t="s">
        <v>22</v>
      </c>
    </row>
    <row r="44" spans="1:25" x14ac:dyDescent="0.25">
      <c r="A44" s="39" t="str">
        <f>A25</f>
        <v>MDC</v>
      </c>
      <c r="B44" s="125">
        <f>[8]Mode_h_f0_b0!B2</f>
        <v>90.093999999999994</v>
      </c>
      <c r="C44" s="14">
        <f>[8]Mode_h_f0_b0!C2</f>
        <v>86.076363660855506</v>
      </c>
      <c r="D44" s="14">
        <f>[8]Mode_h_f0_b0!D2</f>
        <v>94.112041878367805</v>
      </c>
      <c r="E44" s="14">
        <f>[8]Mode_h_f0_b0!E2</f>
        <v>1.78</v>
      </c>
      <c r="F44" s="15">
        <f>[8]Mode_h_f0_b0!F2</f>
        <v>50.613</v>
      </c>
      <c r="G44" s="15">
        <f>[8]Mode_h_f0_b0!G2</f>
        <v>9.1300000000000008</v>
      </c>
      <c r="H44" s="123">
        <f>[8]Mode_h_f0_b0!H2</f>
        <v>1.7E-12</v>
      </c>
      <c r="I44" s="123">
        <f>[8]Mode_h_f0_b0!I2</f>
        <v>3.4000000000000001E-12</v>
      </c>
      <c r="J44" s="15" t="str">
        <f>[8]Mode_h_f0_b0!J2</f>
        <v>p&lt;0.0001</v>
      </c>
      <c r="K44" s="122">
        <f>B44-C44</f>
        <v>4.017636339144488</v>
      </c>
    </row>
    <row r="45" spans="1:25" x14ac:dyDescent="0.25">
      <c r="A45" s="39" t="str">
        <f>A26</f>
        <v>MWH</v>
      </c>
      <c r="B45" s="125">
        <f>[8]Mode_h_f0_b0!B3</f>
        <v>90.501000000000005</v>
      </c>
      <c r="C45" s="14">
        <f>[8]Mode_h_f0_b0!C3</f>
        <v>86.482542607305106</v>
      </c>
      <c r="D45" s="14">
        <f>[8]Mode_h_f0_b0!D3</f>
        <v>94.518498929950795</v>
      </c>
      <c r="E45" s="14">
        <f>[8]Mode_h_f0_b0!E3</f>
        <v>1.78</v>
      </c>
      <c r="F45" s="15">
        <f>[8]Mode_h_f0_b0!F3</f>
        <v>50.837000000000003</v>
      </c>
      <c r="G45" s="15">
        <f>[8]Mode_h_f0_b0!G3</f>
        <v>9.14</v>
      </c>
      <c r="H45" s="123">
        <f>[8]Mode_h_f0_b0!H3</f>
        <v>1.6E-12</v>
      </c>
      <c r="I45" s="123">
        <f>[8]Mode_h_f0_b0!I3</f>
        <v>3.3000000000000001E-12</v>
      </c>
      <c r="J45" s="15" t="str">
        <f>[8]Mode_h_f0_b0!J3</f>
        <v>p&lt;0.0001</v>
      </c>
      <c r="K45" s="122">
        <f>B45-C45</f>
        <v>4.0184573926948985</v>
      </c>
    </row>
    <row r="46" spans="1:25" x14ac:dyDescent="0.25">
      <c r="A46" s="39" t="str">
        <f>A27</f>
        <v>MYN</v>
      </c>
      <c r="B46" s="125">
        <f>[8]Mode_h_f0_b0!B4</f>
        <v>91.813000000000002</v>
      </c>
      <c r="C46" s="14">
        <f>[8]Mode_h_f0_b0!C4</f>
        <v>87.796729947601094</v>
      </c>
      <c r="D46" s="14">
        <f>[8]Mode_h_f0_b0!D4</f>
        <v>95.829644685119007</v>
      </c>
      <c r="E46" s="14">
        <f>[8]Mode_h_f0_b0!E4</f>
        <v>1.7789999999999999</v>
      </c>
      <c r="F46" s="15">
        <f>[8]Mode_h_f0_b0!F4</f>
        <v>51.621000000000002</v>
      </c>
      <c r="G46" s="15">
        <f>[8]Mode_h_f0_b0!G4</f>
        <v>9.1</v>
      </c>
      <c r="H46" s="123">
        <f>[8]Mode_h_f0_b0!H4</f>
        <v>1.5000000000000001E-12</v>
      </c>
      <c r="I46" s="123">
        <f>[8]Mode_h_f0_b0!I4</f>
        <v>3.2000000000000001E-12</v>
      </c>
      <c r="J46" s="15" t="str">
        <f>[8]Mode_h_f0_b0!J4</f>
        <v>p&lt;0.0001</v>
      </c>
      <c r="K46" s="122">
        <f>B46-C46</f>
        <v>4.0162700523989088</v>
      </c>
    </row>
    <row r="47" spans="1:25" x14ac:dyDescent="0.25">
      <c r="A47" s="39" t="str">
        <f>A28</f>
        <v>MDQ</v>
      </c>
      <c r="B47" s="124">
        <f>[8]Mode_h_f0_b0!B5</f>
        <v>94.606999999999999</v>
      </c>
      <c r="C47" s="14">
        <f>[8]Mode_h_f0_b0!C5</f>
        <v>90.593224015084004</v>
      </c>
      <c r="D47" s="14">
        <f>[8]Mode_h_f0_b0!D5</f>
        <v>98.620264099471996</v>
      </c>
      <c r="E47" s="14">
        <f>[8]Mode_h_f0_b0!E5</f>
        <v>1.776</v>
      </c>
      <c r="F47" s="15">
        <f>[8]Mode_h_f0_b0!F5</f>
        <v>53.283999999999999</v>
      </c>
      <c r="G47" s="15">
        <f>[8]Mode_h_f0_b0!G5</f>
        <v>9.0399999999999991</v>
      </c>
      <c r="H47" s="123">
        <f>[8]Mode_h_f0_b0!H5</f>
        <v>1.2999999999999999E-12</v>
      </c>
      <c r="I47" s="123">
        <f>[8]Mode_h_f0_b0!I5</f>
        <v>2.9000000000000002E-12</v>
      </c>
      <c r="J47" s="15" t="str">
        <f>[8]Mode_h_f0_b0!J5</f>
        <v>p&lt;0.0001</v>
      </c>
      <c r="K47" s="122">
        <f>B47-C47</f>
        <v>4.0137759849159949</v>
      </c>
    </row>
  </sheetData>
  <mergeCells count="2">
    <mergeCell ref="A1:J1"/>
    <mergeCell ref="L1:N1"/>
  </mergeCells>
  <conditionalFormatting sqref="K44:K47 K38:K41">
    <cfRule type="cellIs" dxfId="336" priority="83" operator="lessThan">
      <formula>0.05</formula>
    </cfRule>
  </conditionalFormatting>
  <conditionalFormatting sqref="H3:I6">
    <cfRule type="cellIs" dxfId="335" priority="79" stopIfTrue="1" operator="lessThan">
      <formula>0.0001</formula>
    </cfRule>
    <cfRule type="cellIs" dxfId="334" priority="80" stopIfTrue="1" operator="lessThan">
      <formula>0.001</formula>
    </cfRule>
    <cfRule type="cellIs" dxfId="333" priority="81" stopIfTrue="1" operator="lessThan">
      <formula>0.05</formula>
    </cfRule>
    <cfRule type="cellIs" dxfId="332" priority="82" stopIfTrue="1" operator="lessThan">
      <formula>0.1</formula>
    </cfRule>
  </conditionalFormatting>
  <conditionalFormatting sqref="J3:J6">
    <cfRule type="containsText" dxfId="331" priority="74" stopIfTrue="1" operator="containsText" text="p&lt;0.0001">
      <formula>NOT(ISERROR(SEARCH("p&lt;0.0001",J3)))</formula>
    </cfRule>
    <cfRule type="containsText" dxfId="330" priority="75" stopIfTrue="1" operator="containsText" text="p&lt;0.001">
      <formula>NOT(ISERROR(SEARCH("p&lt;0.001",J3)))</formula>
    </cfRule>
    <cfRule type="containsText" dxfId="329" priority="76" stopIfTrue="1" operator="containsText" text="p&lt;0.01">
      <formula>NOT(ISERROR(SEARCH("p&lt;0.01",J3)))</formula>
    </cfRule>
    <cfRule type="containsText" dxfId="328" priority="77" stopIfTrue="1" operator="containsText" text="p&lt;0.05">
      <formula>NOT(ISERROR(SEARCH("p&lt;0.05",J3)))</formula>
    </cfRule>
    <cfRule type="containsText" dxfId="327" priority="78" stopIfTrue="1" operator="containsText" text="p&lt;0.1">
      <formula>NOT(ISERROR(SEARCH("p&lt;0.1",J3)))</formula>
    </cfRule>
  </conditionalFormatting>
  <conditionalFormatting sqref="H8:I10">
    <cfRule type="cellIs" dxfId="326" priority="70" stopIfTrue="1" operator="lessThan">
      <formula>0.0001</formula>
    </cfRule>
    <cfRule type="cellIs" dxfId="325" priority="71" stopIfTrue="1" operator="lessThan">
      <formula>0.001</formula>
    </cfRule>
    <cfRule type="cellIs" dxfId="324" priority="72" stopIfTrue="1" operator="lessThan">
      <formula>0.05</formula>
    </cfRule>
    <cfRule type="cellIs" dxfId="323" priority="73" stopIfTrue="1" operator="lessThan">
      <formula>0.1</formula>
    </cfRule>
  </conditionalFormatting>
  <conditionalFormatting sqref="J8:J10">
    <cfRule type="containsText" dxfId="322" priority="65" stopIfTrue="1" operator="containsText" text="p&lt;0.0001">
      <formula>NOT(ISERROR(SEARCH("p&lt;0.0001",J8)))</formula>
    </cfRule>
    <cfRule type="containsText" dxfId="321" priority="66" stopIfTrue="1" operator="containsText" text="p&lt;0.001">
      <formula>NOT(ISERROR(SEARCH("p&lt;0.001",J8)))</formula>
    </cfRule>
    <cfRule type="containsText" dxfId="320" priority="67" stopIfTrue="1" operator="containsText" text="p&lt;0.01">
      <formula>NOT(ISERROR(SEARCH("p&lt;0.01",J8)))</formula>
    </cfRule>
    <cfRule type="containsText" dxfId="319" priority="68" stopIfTrue="1" operator="containsText" text="p&lt;0.05">
      <formula>NOT(ISERROR(SEARCH("p&lt;0.05",J8)))</formula>
    </cfRule>
    <cfRule type="containsText" dxfId="318" priority="69" stopIfTrue="1" operator="containsText" text="p&lt;0.1">
      <formula>NOT(ISERROR(SEARCH("p&lt;0.1",J8)))</formula>
    </cfRule>
  </conditionalFormatting>
  <conditionalFormatting sqref="H13:I15">
    <cfRule type="cellIs" dxfId="317" priority="61" stopIfTrue="1" operator="lessThan">
      <formula>0.0001</formula>
    </cfRule>
    <cfRule type="cellIs" dxfId="316" priority="62" stopIfTrue="1" operator="lessThan">
      <formula>0.001</formula>
    </cfRule>
    <cfRule type="cellIs" dxfId="315" priority="63" stopIfTrue="1" operator="lessThan">
      <formula>0.05</formula>
    </cfRule>
    <cfRule type="cellIs" dxfId="314" priority="64" stopIfTrue="1" operator="lessThan">
      <formula>0.1</formula>
    </cfRule>
  </conditionalFormatting>
  <conditionalFormatting sqref="J13:J15">
    <cfRule type="containsText" dxfId="313" priority="56" stopIfTrue="1" operator="containsText" text="p&lt;0.0001">
      <formula>NOT(ISERROR(SEARCH("p&lt;0.0001",J13)))</formula>
    </cfRule>
    <cfRule type="containsText" dxfId="312" priority="57" stopIfTrue="1" operator="containsText" text="p&lt;0.001">
      <formula>NOT(ISERROR(SEARCH("p&lt;0.001",J13)))</formula>
    </cfRule>
    <cfRule type="containsText" dxfId="311" priority="58" stopIfTrue="1" operator="containsText" text="p&lt;0.01">
      <formula>NOT(ISERROR(SEARCH("p&lt;0.01",J13)))</formula>
    </cfRule>
    <cfRule type="containsText" dxfId="310" priority="59" stopIfTrue="1" operator="containsText" text="p&lt;0.05">
      <formula>NOT(ISERROR(SEARCH("p&lt;0.05",J13)))</formula>
    </cfRule>
    <cfRule type="containsText" dxfId="309" priority="60" stopIfTrue="1" operator="containsText" text="p&lt;0.1">
      <formula>NOT(ISERROR(SEARCH("p&lt;0.1",J13)))</formula>
    </cfRule>
  </conditionalFormatting>
  <conditionalFormatting sqref="H18:I19 H21:I21">
    <cfRule type="cellIs" dxfId="308" priority="52" stopIfTrue="1" operator="lessThan">
      <formula>0.0001</formula>
    </cfRule>
    <cfRule type="cellIs" dxfId="307" priority="53" stopIfTrue="1" operator="lessThan">
      <formula>0.001</formula>
    </cfRule>
    <cfRule type="cellIs" dxfId="306" priority="54" stopIfTrue="1" operator="lessThan">
      <formula>0.05</formula>
    </cfRule>
    <cfRule type="cellIs" dxfId="305" priority="55" stopIfTrue="1" operator="lessThan">
      <formula>0.1</formula>
    </cfRule>
  </conditionalFormatting>
  <conditionalFormatting sqref="J18:J19 J21">
    <cfRule type="containsText" dxfId="304" priority="47" stopIfTrue="1" operator="containsText" text="p&lt;0.0001">
      <formula>NOT(ISERROR(SEARCH("p&lt;0.0001",J18)))</formula>
    </cfRule>
    <cfRule type="containsText" dxfId="303" priority="48" stopIfTrue="1" operator="containsText" text="p&lt;0.001">
      <formula>NOT(ISERROR(SEARCH("p&lt;0.001",J18)))</formula>
    </cfRule>
    <cfRule type="containsText" dxfId="302" priority="49" stopIfTrue="1" operator="containsText" text="p&lt;0.01">
      <formula>NOT(ISERROR(SEARCH("p&lt;0.01",J18)))</formula>
    </cfRule>
    <cfRule type="containsText" dxfId="301" priority="50" stopIfTrue="1" operator="containsText" text="p&lt;0.05">
      <formula>NOT(ISERROR(SEARCH("p&lt;0.05",J18)))</formula>
    </cfRule>
    <cfRule type="containsText" dxfId="300" priority="51" stopIfTrue="1" operator="containsText" text="p&lt;0.1">
      <formula>NOT(ISERROR(SEARCH("p&lt;0.1",J18)))</formula>
    </cfRule>
  </conditionalFormatting>
  <conditionalFormatting sqref="H11:I11">
    <cfRule type="cellIs" dxfId="299" priority="25" stopIfTrue="1" operator="lessThan">
      <formula>0.0001</formula>
    </cfRule>
    <cfRule type="cellIs" dxfId="298" priority="26" stopIfTrue="1" operator="lessThan">
      <formula>0.001</formula>
    </cfRule>
    <cfRule type="cellIs" dxfId="297" priority="27" stopIfTrue="1" operator="lessThan">
      <formula>0.05</formula>
    </cfRule>
    <cfRule type="cellIs" dxfId="296" priority="28" stopIfTrue="1" operator="lessThan">
      <formula>0.1</formula>
    </cfRule>
  </conditionalFormatting>
  <conditionalFormatting sqref="J11">
    <cfRule type="containsText" dxfId="295" priority="20" stopIfTrue="1" operator="containsText" text="p&lt;0.0001">
      <formula>NOT(ISERROR(SEARCH("p&lt;0.0001",J11)))</formula>
    </cfRule>
    <cfRule type="containsText" dxfId="294" priority="21" stopIfTrue="1" operator="containsText" text="p&lt;0.001">
      <formula>NOT(ISERROR(SEARCH("p&lt;0.001",J11)))</formula>
    </cfRule>
    <cfRule type="containsText" dxfId="293" priority="22" stopIfTrue="1" operator="containsText" text="p&lt;0.01">
      <formula>NOT(ISERROR(SEARCH("p&lt;0.01",J11)))</formula>
    </cfRule>
    <cfRule type="containsText" dxfId="292" priority="23" stopIfTrue="1" operator="containsText" text="p&lt;0.05">
      <formula>NOT(ISERROR(SEARCH("p&lt;0.05",J11)))</formula>
    </cfRule>
    <cfRule type="containsText" dxfId="291" priority="24" stopIfTrue="1" operator="containsText" text="p&lt;0.1">
      <formula>NOT(ISERROR(SEARCH("p&lt;0.1",J11)))</formula>
    </cfRule>
  </conditionalFormatting>
  <conditionalFormatting sqref="H16:I16">
    <cfRule type="cellIs" dxfId="290" priority="16" stopIfTrue="1" operator="lessThan">
      <formula>0.0001</formula>
    </cfRule>
    <cfRule type="cellIs" dxfId="289" priority="17" stopIfTrue="1" operator="lessThan">
      <formula>0.001</formula>
    </cfRule>
    <cfRule type="cellIs" dxfId="288" priority="18" stopIfTrue="1" operator="lessThan">
      <formula>0.05</formula>
    </cfRule>
    <cfRule type="cellIs" dxfId="287" priority="19" stopIfTrue="1" operator="lessThan">
      <formula>0.1</formula>
    </cfRule>
  </conditionalFormatting>
  <conditionalFormatting sqref="J16">
    <cfRule type="containsText" dxfId="286" priority="11" stopIfTrue="1" operator="containsText" text="p&lt;0.0001">
      <formula>NOT(ISERROR(SEARCH("p&lt;0.0001",J16)))</formula>
    </cfRule>
    <cfRule type="containsText" dxfId="285" priority="12" stopIfTrue="1" operator="containsText" text="p&lt;0.001">
      <formula>NOT(ISERROR(SEARCH("p&lt;0.001",J16)))</formula>
    </cfRule>
    <cfRule type="containsText" dxfId="284" priority="13" stopIfTrue="1" operator="containsText" text="p&lt;0.01">
      <formula>NOT(ISERROR(SEARCH("p&lt;0.01",J16)))</formula>
    </cfRule>
    <cfRule type="containsText" dxfId="283" priority="14" stopIfTrue="1" operator="containsText" text="p&lt;0.05">
      <formula>NOT(ISERROR(SEARCH("p&lt;0.05",J16)))</formula>
    </cfRule>
    <cfRule type="containsText" dxfId="282" priority="15" stopIfTrue="1" operator="containsText" text="p&lt;0.1">
      <formula>NOT(ISERROR(SEARCH("p&lt;0.1",J16)))</formula>
    </cfRule>
  </conditionalFormatting>
  <conditionalFormatting sqref="H20:I20">
    <cfRule type="cellIs" dxfId="281" priority="7" stopIfTrue="1" operator="lessThan">
      <formula>0.0001</formula>
    </cfRule>
    <cfRule type="cellIs" dxfId="280" priority="8" stopIfTrue="1" operator="lessThan">
      <formula>0.001</formula>
    </cfRule>
    <cfRule type="cellIs" dxfId="279" priority="9" stopIfTrue="1" operator="lessThan">
      <formula>0.05</formula>
    </cfRule>
    <cfRule type="cellIs" dxfId="278" priority="10" stopIfTrue="1" operator="lessThan">
      <formula>0.1</formula>
    </cfRule>
  </conditionalFormatting>
  <conditionalFormatting sqref="J20">
    <cfRule type="containsText" dxfId="277" priority="2" stopIfTrue="1" operator="containsText" text="p&lt;0.0001">
      <formula>NOT(ISERROR(SEARCH("p&lt;0.0001",J20)))</formula>
    </cfRule>
    <cfRule type="containsText" dxfId="276" priority="3" stopIfTrue="1" operator="containsText" text="p&lt;0.001">
      <formula>NOT(ISERROR(SEARCH("p&lt;0.001",J20)))</formula>
    </cfRule>
    <cfRule type="containsText" dxfId="275" priority="4" stopIfTrue="1" operator="containsText" text="p&lt;0.01">
      <formula>NOT(ISERROR(SEARCH("p&lt;0.01",J20)))</formula>
    </cfRule>
    <cfRule type="containsText" dxfId="274" priority="5" stopIfTrue="1" operator="containsText" text="p&lt;0.05">
      <formula>NOT(ISERROR(SEARCH("p&lt;0.05",J20)))</formula>
    </cfRule>
    <cfRule type="containsText" dxfId="273" priority="6" stopIfTrue="1" operator="containsText" text="p&lt;0.1">
      <formula>NOT(ISERROR(SEARCH("p&lt;0.1",J20)))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24:N57"/>
  <sheetViews>
    <sheetView topLeftCell="A6" zoomScale="85" zoomScaleNormal="85" workbookViewId="0">
      <selection activeCell="N21" sqref="N21"/>
    </sheetView>
  </sheetViews>
  <sheetFormatPr defaultRowHeight="15" x14ac:dyDescent="0.25"/>
  <sheetData>
    <row r="24" spans="14:14" x14ac:dyDescent="0.25">
      <c r="N24" s="194"/>
    </row>
    <row r="41" spans="3:12" x14ac:dyDescent="0.25">
      <c r="C41" s="198" t="s">
        <v>66</v>
      </c>
      <c r="D41" s="198" t="s">
        <v>67</v>
      </c>
      <c r="E41" s="198" t="s">
        <v>68</v>
      </c>
      <c r="F41" s="199" t="s">
        <v>65</v>
      </c>
      <c r="G41" s="200"/>
    </row>
    <row r="42" spans="3:12" ht="15.75" thickBot="1" x14ac:dyDescent="0.3">
      <c r="C42" s="201" t="s">
        <v>28</v>
      </c>
      <c r="D42" s="202">
        <f>_xlfn.STDEV.S('mode B1'!B3,'mode B1'!B8,'mode B1'!B13,'mode B1'!B18,'mode B1'!B23,'mode B1'!B28)</f>
        <v>0.89646832998531856</v>
      </c>
      <c r="E42" s="202">
        <f>_xlfn.STDEV.S('mode RTH B1'!B3,'mode RTH B1'!B8,'mode RTH B1'!B13,'mode RTH B1'!B18,'mode RTH B1'!B23,'mode RTH B1'!B28)</f>
        <v>0.57876235767944195</v>
      </c>
      <c r="F42" s="203">
        <f>D42-E42</f>
        <v>0.3177059723058766</v>
      </c>
      <c r="G42" s="200"/>
      <c r="K42" s="196"/>
      <c r="L42" s="195"/>
    </row>
    <row r="43" spans="3:12" ht="15.75" thickBot="1" x14ac:dyDescent="0.3">
      <c r="C43" s="201" t="s">
        <v>29</v>
      </c>
      <c r="D43" s="202">
        <f>_xlfn.STDEV.S('mode B1'!B4,'mode B1'!B9,'mode B1'!B14,'mode B1'!B19,'mode B1'!B24,'mode B1'!B29)</f>
        <v>1.6197473156843532</v>
      </c>
      <c r="E43" s="202">
        <f>_xlfn.STDEV.S('mode RTH B1'!B4,'mode RTH B1'!B9,'mode RTH B1'!B14,'mode RTH B1'!B19,'mode RTH B1'!B24,'mode RTH B1'!B29)</f>
        <v>0.70785780116254027</v>
      </c>
      <c r="F43" s="203">
        <f>D43-E43</f>
        <v>0.91188951452181288</v>
      </c>
      <c r="G43" s="200"/>
      <c r="K43" s="196"/>
      <c r="L43" s="195"/>
    </row>
    <row r="44" spans="3:12" ht="15.75" thickBot="1" x14ac:dyDescent="0.3">
      <c r="C44" s="201" t="s">
        <v>30</v>
      </c>
      <c r="D44" s="202">
        <f>_xlfn.STDEV.S('mode B1'!B5,'mode B1'!B10,'mode B1'!B15,'mode B1'!B20,'mode B1'!B25,'mode B1'!B30)</f>
        <v>10.440750459936616</v>
      </c>
      <c r="E44" s="202">
        <f>_xlfn.STDEV.S('mode RTH B1'!B5,'mode RTH B1'!B10,'mode RTH B1'!B15,'mode RTH B1'!B20,'mode RTH B1'!B25,'mode RTH B1'!B30)</f>
        <v>12.381236687019596</v>
      </c>
      <c r="F44" s="203">
        <f>D44-E44</f>
        <v>-1.9404862270829799</v>
      </c>
      <c r="G44" s="200"/>
      <c r="K44" s="196"/>
      <c r="L44" s="195"/>
    </row>
    <row r="45" spans="3:12" x14ac:dyDescent="0.25">
      <c r="C45" s="201" t="s">
        <v>31</v>
      </c>
      <c r="D45" s="202">
        <f>_xlfn.STDEV.S('mode B1'!B6,'mode B1'!B11,'mode B1'!B16,'mode B1'!B21,'mode B1'!B26,'mode B1'!B31)</f>
        <v>7.8731265305891434</v>
      </c>
      <c r="E45" s="202">
        <f>_xlfn.STDEV.S('mode RTH B1'!B6,'mode RTH B1'!B11,'mode RTH B1'!B16,'mode RTH B1'!B21,'mode RTH B1'!B26,'mode RTH B1'!B31)</f>
        <v>8.5852010576340021</v>
      </c>
      <c r="F45" s="203">
        <f>D45-E45</f>
        <v>-0.71207452704485874</v>
      </c>
      <c r="G45" s="200"/>
    </row>
    <row r="46" spans="3:12" x14ac:dyDescent="0.25">
      <c r="C46" s="204"/>
      <c r="D46" s="204"/>
      <c r="E46" s="199"/>
      <c r="F46" s="199"/>
      <c r="G46" s="200"/>
    </row>
    <row r="47" spans="3:12" ht="15" customHeight="1" x14ac:dyDescent="0.25">
      <c r="C47" s="198" t="s">
        <v>69</v>
      </c>
      <c r="D47" s="198" t="s">
        <v>67</v>
      </c>
      <c r="E47" s="198" t="s">
        <v>68</v>
      </c>
      <c r="F47" s="199" t="s">
        <v>65</v>
      </c>
      <c r="G47" s="205"/>
    </row>
    <row r="48" spans="3:12" ht="15.75" thickBot="1" x14ac:dyDescent="0.3">
      <c r="C48" s="201" t="s">
        <v>28</v>
      </c>
      <c r="D48" s="202">
        <f>AVERAGE('mode B1'!B3,'mode B1'!B8,'mode B1'!B13,'mode B1'!B18,'mode B1'!B23,'mode B1'!B28)</f>
        <v>1.4906666666666668</v>
      </c>
      <c r="E48" s="202">
        <f>AVERAGE('mode RTH B1'!B3,'mode RTH B1'!B8,'mode RTH B1'!B13,'mode RTH B1'!B18,'mode RTH B1'!B23,'mode RTH B1'!B28)</f>
        <v>0.70466666666666677</v>
      </c>
      <c r="F48" s="203">
        <f>D48-E48</f>
        <v>0.78600000000000003</v>
      </c>
      <c r="G48" s="200"/>
      <c r="K48" s="196"/>
      <c r="L48" s="195"/>
    </row>
    <row r="49" spans="3:12" ht="15.75" thickBot="1" x14ac:dyDescent="0.3">
      <c r="C49" s="201" t="s">
        <v>29</v>
      </c>
      <c r="D49" s="202">
        <f>AVERAGE('mode B1'!B4,'mode B1'!B9,'mode B1'!B14,'mode B1'!B19,'mode B1'!B24,'mode B1'!B29)</f>
        <v>2.4751666666666665</v>
      </c>
      <c r="E49" s="202">
        <f>AVERAGE('mode RTH B1'!B4,'mode RTH B1'!B9,'mode RTH B1'!B14,'mode RTH B1'!B19,'mode RTH B1'!B24,'mode RTH B1'!B29)</f>
        <v>1.2686666666666666</v>
      </c>
      <c r="F49" s="203">
        <f>D49-E49</f>
        <v>1.2064999999999999</v>
      </c>
      <c r="G49" s="200"/>
      <c r="K49" s="196"/>
      <c r="L49" s="195"/>
    </row>
    <row r="50" spans="3:12" ht="15.75" thickBot="1" x14ac:dyDescent="0.3">
      <c r="C50" s="201" t="s">
        <v>30</v>
      </c>
      <c r="D50" s="202">
        <f>AVERAGE('mode B1'!B5,'mode B1'!B10,'mode B1'!B15,'mode B1'!B20,'mode B1'!B25,'mode B1'!B30)</f>
        <v>-10.973833333333333</v>
      </c>
      <c r="E50" s="202">
        <f>AVERAGE('mode RTH B1'!B5,'mode RTH B1'!B10,'mode RTH B1'!B15,'mode RTH B1'!B20,'mode RTH B1'!B25,'mode RTH B1'!B30)</f>
        <v>-9.8925000000000001</v>
      </c>
      <c r="F50" s="203">
        <f>D50-E50</f>
        <v>-1.0813333333333333</v>
      </c>
      <c r="G50" s="200"/>
      <c r="K50" s="196"/>
      <c r="L50" s="195"/>
    </row>
    <row r="51" spans="3:12" x14ac:dyDescent="0.25">
      <c r="C51" s="201" t="s">
        <v>31</v>
      </c>
      <c r="D51" s="202">
        <f>AVERAGE('mode B1'!B6,'mode B1'!B11,'mode B1'!B16,'mode B1'!B21,'mode B1'!B26,'mode B1'!B31)</f>
        <v>-8.7681666666666658</v>
      </c>
      <c r="E51" s="202">
        <f>AVERAGE('mode RTH B1'!B6,'mode RTH B1'!B11,'mode RTH B1'!B16,'mode RTH B1'!B21,'mode RTH B1'!B26,'mode RTH B1'!B31)</f>
        <v>-7.8849999999999989</v>
      </c>
      <c r="F51" s="203">
        <f>D51-E51</f>
        <v>-0.88316666666666688</v>
      </c>
      <c r="G51" s="200"/>
    </row>
    <row r="52" spans="3:12" x14ac:dyDescent="0.25">
      <c r="C52" s="200"/>
      <c r="D52" s="200"/>
      <c r="E52" s="200"/>
      <c r="F52" s="200"/>
      <c r="G52" s="200"/>
    </row>
    <row r="53" spans="3:12" x14ac:dyDescent="0.25">
      <c r="D53" s="197" t="str">
        <f>D47</f>
        <v>mode-only</v>
      </c>
      <c r="E53" s="197" t="str">
        <f>E47</f>
        <v>mode+phon</v>
      </c>
      <c r="F53" s="206" t="str">
        <f>F47</f>
        <v>diff</v>
      </c>
    </row>
    <row r="54" spans="3:12" x14ac:dyDescent="0.25">
      <c r="C54" t="str">
        <f>C48</f>
        <v>l_f0</v>
      </c>
      <c r="D54" t="str">
        <f>_xlfn.CONCAT(ROUND(D48,2), " (sd=", ROUND(D42,2), ")")</f>
        <v>1.49 (sd=0.9)</v>
      </c>
      <c r="E54" t="str">
        <f t="shared" ref="E54:F54" si="0">_xlfn.CONCAT(ROUND(E48,2), " (sd=", ROUND(E42,2), ")")</f>
        <v>0.7 (sd=0.58)</v>
      </c>
      <c r="F54" t="str">
        <f t="shared" si="0"/>
        <v>0.79 (sd=0.32)</v>
      </c>
    </row>
    <row r="55" spans="3:12" x14ac:dyDescent="0.25">
      <c r="C55" t="str">
        <f t="shared" ref="C55:C57" si="1">C49</f>
        <v>h_f0</v>
      </c>
      <c r="D55" t="str">
        <f t="shared" ref="D55:F55" si="2">_xlfn.CONCAT(ROUND(D49,2), " (sd=", ROUND(D43,2), ")")</f>
        <v>2.48 (sd=1.62)</v>
      </c>
      <c r="E55" t="str">
        <f t="shared" si="2"/>
        <v>1.27 (sd=0.71)</v>
      </c>
      <c r="F55" t="str">
        <f t="shared" si="2"/>
        <v>1.21 (sd=0.91)</v>
      </c>
    </row>
    <row r="56" spans="3:12" x14ac:dyDescent="0.25">
      <c r="C56" t="str">
        <f t="shared" si="1"/>
        <v>l_t</v>
      </c>
      <c r="D56" t="str">
        <f t="shared" ref="D56:F56" si="3">_xlfn.CONCAT(ROUND(D50,2), " (sd=", ROUND(D44,2), ")")</f>
        <v>-10.97 (sd=10.44)</v>
      </c>
      <c r="E56" t="str">
        <f t="shared" si="3"/>
        <v>-9.89 (sd=12.38)</v>
      </c>
      <c r="F56" t="str">
        <f t="shared" si="3"/>
        <v>-1.08 (sd=-1.94)</v>
      </c>
    </row>
    <row r="57" spans="3:12" x14ac:dyDescent="0.25">
      <c r="C57" t="str">
        <f t="shared" si="1"/>
        <v>h_t</v>
      </c>
      <c r="D57" t="str">
        <f t="shared" ref="D57:F57" si="4">_xlfn.CONCAT(ROUND(D51,2), " (sd=", ROUND(D45,2), ")")</f>
        <v>-8.77 (sd=7.87)</v>
      </c>
      <c r="E57" t="str">
        <f t="shared" si="4"/>
        <v>-7.89 (sd=8.59)</v>
      </c>
      <c r="F57" t="str">
        <f t="shared" si="4"/>
        <v>-0.88 (sd=-0.71)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N33"/>
  <sheetViews>
    <sheetView showGridLines="0" zoomScale="85" zoomScaleNormal="85" workbookViewId="0">
      <selection activeCell="I11" sqref="I11:I14"/>
    </sheetView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4"/>
      <c r="C1" s="166"/>
      <c r="D1" s="174"/>
      <c r="E1" s="174"/>
      <c r="F1" s="173"/>
      <c r="G1" s="173"/>
    </row>
    <row r="2" spans="1:14" ht="25.15" customHeight="1" thickTop="1" thickBot="1" x14ac:dyDescent="0.3">
      <c r="A2" s="163" t="s">
        <v>53</v>
      </c>
      <c r="B2" s="163" t="str">
        <f>[25]utt_f0_b0!B1</f>
        <v>estimate</v>
      </c>
      <c r="C2" s="163" t="str">
        <f>[25]utt_f0_b0!C1</f>
        <v>conf.low</v>
      </c>
      <c r="D2" s="163" t="str">
        <f>[25]utt_f0_b0!D1</f>
        <v>conf.high</v>
      </c>
      <c r="E2" s="163" t="str">
        <f>[25]utt_f0_b0!E1</f>
        <v>std.error</v>
      </c>
      <c r="F2" s="163" t="str">
        <f>[25]utt_f0_b0!F1</f>
        <v>t.value</v>
      </c>
      <c r="G2" s="163" t="str">
        <f>[25]utt_f0_b0!G1</f>
        <v>df</v>
      </c>
      <c r="H2" s="163" t="str">
        <f>[25]utt_f0_b0!H1</f>
        <v>p.value</v>
      </c>
      <c r="I2" s="164" t="str">
        <f>[25]utt_f0_b0!I1</f>
        <v>p.adj (BH)</v>
      </c>
      <c r="J2" s="164" t="str">
        <f>[25]utt_f0_b0!J1</f>
        <v>signif.</v>
      </c>
      <c r="K2" s="163" t="s">
        <v>81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62">
        <f>[25]utt_f0_b0!B2</f>
        <v>86.081999999999994</v>
      </c>
      <c r="C3" s="162">
        <f>[25]utt_f0_b0!C2</f>
        <v>82.704753311215896</v>
      </c>
      <c r="D3" s="162">
        <f>[25]utt_f0_b0!D2</f>
        <v>89.458859824459097</v>
      </c>
      <c r="E3" s="159">
        <f>[25]utt_f0_b0!E2</f>
        <v>1.516</v>
      </c>
      <c r="F3" s="159">
        <f>[25]utt_f0_b0!F2</f>
        <v>56.783999999999999</v>
      </c>
      <c r="G3" s="159">
        <f>[25]utt_f0_b0!G2</f>
        <v>10.02</v>
      </c>
      <c r="H3" s="161">
        <f>[25]utt_f0_b0!H2</f>
        <v>6.7000000000000005E-14</v>
      </c>
      <c r="I3" s="161">
        <f>[25]utt_f0_b0!I2</f>
        <v>2.0000000000000001E-13</v>
      </c>
      <c r="J3" s="160" t="str">
        <f>[25]utt_f0_b0!J2</f>
        <v>p&lt;0.0001</v>
      </c>
      <c r="K3" s="159">
        <f>D3-B3</f>
        <v>3.3768598244591033</v>
      </c>
      <c r="M3" s="178">
        <f>[26]utt_f0_r2!$B$3</f>
        <v>2.6630692365991401E-2</v>
      </c>
      <c r="N3" s="178">
        <f>[26]utt_f0_r2!$B$2</f>
        <v>0.95251205799762395</v>
      </c>
    </row>
    <row r="4" spans="1:14" s="168" customFormat="1" ht="33.6" customHeight="1" thickBot="1" x14ac:dyDescent="0.3">
      <c r="A4" s="158" t="s">
        <v>15</v>
      </c>
      <c r="B4" s="158">
        <f>[25]utt_f0_b0!B3</f>
        <v>86.552999999999997</v>
      </c>
      <c r="C4" s="158">
        <f>[25]utt_f0_b0!C3</f>
        <v>83.538668846366306</v>
      </c>
      <c r="D4" s="158">
        <f>[25]utt_f0_b0!D3</f>
        <v>89.566762015229898</v>
      </c>
      <c r="E4" s="155">
        <f>[25]utt_f0_b0!E3</f>
        <v>1.353</v>
      </c>
      <c r="F4" s="155">
        <f>[25]utt_f0_b0!F3</f>
        <v>63.969000000000001</v>
      </c>
      <c r="G4" s="155">
        <f>[25]utt_f0_b0!G3</f>
        <v>10.02</v>
      </c>
      <c r="H4" s="157">
        <f>[25]utt_f0_b0!H3</f>
        <v>2E-14</v>
      </c>
      <c r="I4" s="157">
        <f>[25]utt_f0_b0!I3</f>
        <v>7.1E-14</v>
      </c>
      <c r="J4" s="156" t="str">
        <f>[25]utt_f0_b0!J3</f>
        <v>p&lt;0.0001</v>
      </c>
      <c r="K4" s="155">
        <f t="shared" ref="K4:K6" si="0">D4-B4</f>
        <v>3.0137620152299007</v>
      </c>
      <c r="M4" s="175"/>
      <c r="N4" s="175"/>
    </row>
    <row r="5" spans="1:14" s="168" customFormat="1" ht="33.6" customHeight="1" thickBot="1" x14ac:dyDescent="0.3">
      <c r="A5" s="158" t="s">
        <v>16</v>
      </c>
      <c r="B5" s="158">
        <f>[25]utt_f0_b0!B4</f>
        <v>86.841999999999999</v>
      </c>
      <c r="C5" s="158">
        <f>[25]utt_f0_b0!C4</f>
        <v>83.750994120829404</v>
      </c>
      <c r="D5" s="158">
        <f>[25]utt_f0_b0!D4</f>
        <v>89.933069912578006</v>
      </c>
      <c r="E5" s="155">
        <f>[25]utt_f0_b0!E4</f>
        <v>1.3879999999999999</v>
      </c>
      <c r="F5" s="155">
        <f>[25]utt_f0_b0!F4</f>
        <v>62.584000000000003</v>
      </c>
      <c r="G5" s="155">
        <f>[25]utt_f0_b0!G4</f>
        <v>10.02</v>
      </c>
      <c r="H5" s="157">
        <f>[25]utt_f0_b0!H4</f>
        <v>2.5000000000000001E-14</v>
      </c>
      <c r="I5" s="157">
        <f>[25]utt_f0_b0!I4</f>
        <v>8.3999999999999995E-14</v>
      </c>
      <c r="J5" s="156" t="str">
        <f>[25]utt_f0_b0!J4</f>
        <v>p&lt;0.0001</v>
      </c>
      <c r="K5" s="155">
        <f t="shared" si="0"/>
        <v>3.091069912578007</v>
      </c>
      <c r="M5" s="175"/>
      <c r="N5" s="175"/>
    </row>
    <row r="6" spans="1:14" s="168" customFormat="1" ht="33.6" customHeight="1" thickBot="1" x14ac:dyDescent="0.3">
      <c r="A6" s="154" t="s">
        <v>17</v>
      </c>
      <c r="B6" s="154">
        <f>[25]utt_f0_b0!B5</f>
        <v>88.319000000000003</v>
      </c>
      <c r="C6" s="154">
        <f>[25]utt_f0_b0!C5</f>
        <v>84.789342645645803</v>
      </c>
      <c r="D6" s="154">
        <f>[25]utt_f0_b0!D5</f>
        <v>91.847688325108507</v>
      </c>
      <c r="E6" s="151">
        <f>[25]utt_f0_b0!E5</f>
        <v>1.5840000000000001</v>
      </c>
      <c r="F6" s="151">
        <f>[25]utt_f0_b0!F5</f>
        <v>55.750999999999998</v>
      </c>
      <c r="G6" s="151">
        <f>[25]utt_f0_b0!G5</f>
        <v>10.01</v>
      </c>
      <c r="H6" s="153">
        <f>[25]utt_f0_b0!H5</f>
        <v>8.0999999999999996E-14</v>
      </c>
      <c r="I6" s="153">
        <f>[25]utt_f0_b0!I5</f>
        <v>2.2999999999999998E-13</v>
      </c>
      <c r="J6" s="152" t="str">
        <f>[25]utt_f0_b0!J5</f>
        <v>p&lt;0.0001</v>
      </c>
      <c r="K6" s="151">
        <f t="shared" si="0"/>
        <v>3.5286883251085044</v>
      </c>
      <c r="M6" s="175"/>
      <c r="N6" s="175"/>
    </row>
    <row r="7" spans="1:14" s="168" customFormat="1" x14ac:dyDescent="0.25">
      <c r="A7" s="149" t="s">
        <v>89</v>
      </c>
      <c r="B7" s="150">
        <f>_xlfn.STDEV.S(B3:B6)</f>
        <v>0.96554889398034816</v>
      </c>
      <c r="C7" s="171" t="s">
        <v>92</v>
      </c>
      <c r="D7" s="172">
        <f>_xlfn.VAR.S(B3:B6)</f>
        <v>0.93228466666667353</v>
      </c>
      <c r="E7" s="171"/>
      <c r="F7" s="170"/>
      <c r="G7" s="169"/>
      <c r="M7" s="175"/>
      <c r="N7" s="175"/>
    </row>
    <row r="8" spans="1:14" s="168" customFormat="1" x14ac:dyDescent="0.25">
      <c r="A8" s="149" t="s">
        <v>91</v>
      </c>
      <c r="B8" s="274">
        <f>AVERAGE(B3:B6)</f>
        <v>86.948999999999998</v>
      </c>
      <c r="C8" s="172"/>
      <c r="D8" s="171"/>
      <c r="E8" s="171"/>
      <c r="F8" s="170"/>
      <c r="G8" s="169"/>
      <c r="M8" s="175"/>
      <c r="N8" s="175"/>
    </row>
    <row r="9" spans="1:14" s="165" customFormat="1" ht="33.6" customHeight="1" thickBot="1" x14ac:dyDescent="0.3">
      <c r="A9" s="167" t="s">
        <v>54</v>
      </c>
      <c r="B9" s="166"/>
      <c r="C9" s="166"/>
      <c r="D9" s="166"/>
      <c r="E9" s="166"/>
      <c r="G9" s="165" t="s">
        <v>52</v>
      </c>
      <c r="M9" s="175"/>
      <c r="N9" s="175"/>
    </row>
    <row r="10" spans="1:14" ht="25.15" customHeight="1" thickTop="1" thickBot="1" x14ac:dyDescent="0.3">
      <c r="A10" s="163" t="s">
        <v>53</v>
      </c>
      <c r="B10" s="163" t="str">
        <f>[27]utt_slope_b0!B1</f>
        <v>estimate</v>
      </c>
      <c r="C10" s="163" t="str">
        <f>[27]utt_slope_b0!C1</f>
        <v>conf.low</v>
      </c>
      <c r="D10" s="163" t="str">
        <f>[27]utt_slope_b0!D1</f>
        <v>conf.high</v>
      </c>
      <c r="E10" s="163" t="str">
        <f>[27]utt_slope_b0!E1</f>
        <v>std.error</v>
      </c>
      <c r="F10" s="163" t="str">
        <f>[27]utt_slope_b0!F1</f>
        <v>t.value</v>
      </c>
      <c r="G10" s="163" t="str">
        <f>[27]utt_slope_b0!G1</f>
        <v>df</v>
      </c>
      <c r="H10" s="163" t="str">
        <f>[27]utt_slope_b0!H1</f>
        <v>p.value</v>
      </c>
      <c r="I10" s="164" t="str">
        <f>[27]utt_slope_b0!I1</f>
        <v>p.adj (BH)</v>
      </c>
      <c r="J10" s="164" t="str">
        <f>[27]utt_slope_b0!J1</f>
        <v>signif.</v>
      </c>
      <c r="K10" s="163" t="s">
        <v>81</v>
      </c>
      <c r="M10" s="163" t="s">
        <v>57</v>
      </c>
      <c r="N10" s="163" t="s">
        <v>56</v>
      </c>
    </row>
    <row r="11" spans="1:14" s="168" customFormat="1" ht="33.6" customHeight="1" thickTop="1" thickBot="1" x14ac:dyDescent="0.3">
      <c r="A11" s="162" t="s">
        <v>14</v>
      </c>
      <c r="B11" s="162">
        <f>[27]utt_slope_b0!B2</f>
        <v>-0.42399999999999999</v>
      </c>
      <c r="C11" s="162">
        <f>[27]utt_slope_b0!C2</f>
        <v>-2.0388500774625702</v>
      </c>
      <c r="D11" s="162">
        <f>[27]utt_slope_b0!D2</f>
        <v>1.19087341407404</v>
      </c>
      <c r="E11" s="159">
        <f>[27]utt_slope_b0!E2</f>
        <v>0.73699999999999999</v>
      </c>
      <c r="F11" s="159">
        <f>[27]utt_slope_b0!F2</f>
        <v>-0.57499999999999996</v>
      </c>
      <c r="G11" s="159">
        <f>[27]utt_slope_b0!G2</f>
        <v>11.46</v>
      </c>
      <c r="H11" s="161">
        <f>[27]utt_slope_b0!H2</f>
        <v>0.57599999999999996</v>
      </c>
      <c r="I11" s="161">
        <f>[27]utt_slope_b0!I2</f>
        <v>0.58599999999999997</v>
      </c>
      <c r="J11" s="160">
        <f>[27]utt_slope_b0!J2</f>
        <v>0</v>
      </c>
      <c r="K11" s="159">
        <f t="shared" ref="K11:K14" si="1">D11-B11</f>
        <v>1.6148734140740399</v>
      </c>
      <c r="M11" s="178">
        <f>[28]utt_slope_r2!$B$3</f>
        <v>0.50064598788705905</v>
      </c>
      <c r="N11" s="178">
        <f>[28]utt_slope_r2!$B$2</f>
        <v>0.82651743401007005</v>
      </c>
    </row>
    <row r="12" spans="1:14" s="168" customFormat="1" ht="33.6" customHeight="1" thickBot="1" x14ac:dyDescent="0.3">
      <c r="A12" s="158" t="s">
        <v>15</v>
      </c>
      <c r="B12" s="158">
        <f>[27]utt_slope_b0!B3</f>
        <v>-2.8490000000000002</v>
      </c>
      <c r="C12" s="158">
        <f>[27]utt_slope_b0!C3</f>
        <v>-4.8371292842892704</v>
      </c>
      <c r="D12" s="158">
        <f>[27]utt_slope_b0!D3</f>
        <v>-0.86092869874570399</v>
      </c>
      <c r="E12" s="155">
        <f>[27]utt_slope_b0!E3</f>
        <v>0.90500000000000003</v>
      </c>
      <c r="F12" s="155">
        <f>[27]utt_slope_b0!F3</f>
        <v>-3.149</v>
      </c>
      <c r="G12" s="155">
        <f>[27]utt_slope_b0!G3</f>
        <v>11.15</v>
      </c>
      <c r="H12" s="157">
        <f>[27]utt_slope_b0!H3</f>
        <v>8.9999999999999993E-3</v>
      </c>
      <c r="I12" s="157">
        <f>[27]utt_slope_b0!I3</f>
        <v>0.01</v>
      </c>
      <c r="J12" s="156" t="str">
        <f>[27]utt_slope_b0!J3</f>
        <v>p&lt;0.01</v>
      </c>
      <c r="K12" s="155">
        <f t="shared" si="1"/>
        <v>1.9880713012542963</v>
      </c>
    </row>
    <row r="13" spans="1:14" s="168" customFormat="1" ht="33.6" customHeight="1" thickBot="1" x14ac:dyDescent="0.3">
      <c r="A13" s="158" t="s">
        <v>16</v>
      </c>
      <c r="B13" s="158">
        <f>[27]utt_slope_b0!B4</f>
        <v>3.1259999999999999</v>
      </c>
      <c r="C13" s="158">
        <f>[27]utt_slope_b0!C4</f>
        <v>1.5929891966334999</v>
      </c>
      <c r="D13" s="158">
        <f>[27]utt_slope_b0!D4</f>
        <v>4.6583189993808896</v>
      </c>
      <c r="E13" s="155">
        <f>[27]utt_slope_b0!E4</f>
        <v>0.7</v>
      </c>
      <c r="F13" s="155">
        <f>[27]utt_slope_b0!F4</f>
        <v>4.4630000000000001</v>
      </c>
      <c r="G13" s="155">
        <f>[27]utt_slope_b0!G4</f>
        <v>11.55</v>
      </c>
      <c r="H13" s="157">
        <f>[27]utt_slope_b0!H4</f>
        <v>8.4999999999999995E-4</v>
      </c>
      <c r="I13" s="157">
        <f>[27]utt_slope_b0!I4</f>
        <v>9.6000000000000002E-4</v>
      </c>
      <c r="J13" s="156" t="str">
        <f>[27]utt_slope_b0!J4</f>
        <v>p&lt;0.001</v>
      </c>
      <c r="K13" s="155">
        <f t="shared" si="1"/>
        <v>1.5323189993808897</v>
      </c>
    </row>
    <row r="14" spans="1:14" s="168" customFormat="1" ht="33.6" customHeight="1" thickBot="1" x14ac:dyDescent="0.3">
      <c r="A14" s="154" t="s">
        <v>17</v>
      </c>
      <c r="B14" s="154">
        <f>[27]utt_slope_b0!B5</f>
        <v>6.19</v>
      </c>
      <c r="C14" s="154">
        <f>[27]utt_slope_b0!C5</f>
        <v>3.7877391950621901</v>
      </c>
      <c r="D14" s="154">
        <f>[27]utt_slope_b0!D5</f>
        <v>8.5923685128481093</v>
      </c>
      <c r="E14" s="151">
        <f>[27]utt_slope_b0!E5</f>
        <v>1.0900000000000001</v>
      </c>
      <c r="F14" s="151">
        <f>[27]utt_slope_b0!F5</f>
        <v>5.6779999999999999</v>
      </c>
      <c r="G14" s="151">
        <f>[27]utt_slope_b0!G5</f>
        <v>10.9</v>
      </c>
      <c r="H14" s="153">
        <f>[27]utt_slope_b0!H5</f>
        <v>1.4999999999999999E-4</v>
      </c>
      <c r="I14" s="153">
        <f>[27]utt_slope_b0!I5</f>
        <v>2.2000000000000001E-4</v>
      </c>
      <c r="J14" s="152" t="str">
        <f>[27]utt_slope_b0!J5</f>
        <v>p&lt;0.001</v>
      </c>
      <c r="K14" s="151">
        <f t="shared" si="1"/>
        <v>2.4023685128481089</v>
      </c>
    </row>
    <row r="15" spans="1:14" x14ac:dyDescent="0.25">
      <c r="A15" s="149" t="s">
        <v>89</v>
      </c>
      <c r="B15" s="150">
        <f>_xlfn.STDEV.S(B11:B14)</f>
        <v>3.9688407522432376</v>
      </c>
      <c r="C15" s="171" t="s">
        <v>92</v>
      </c>
      <c r="D15" s="171">
        <f>_xlfn.VAR.S(B11:B14)</f>
        <v>15.751696916666667</v>
      </c>
    </row>
    <row r="16" spans="1:14" x14ac:dyDescent="0.25">
      <c r="A16" s="149" t="s">
        <v>90</v>
      </c>
      <c r="B16" s="150">
        <f>AVERAGE(B11:B14)</f>
        <v>1.51075</v>
      </c>
      <c r="C16" s="149"/>
      <c r="D16" s="149"/>
    </row>
    <row r="17" spans="1:4" ht="33.6" customHeight="1" x14ac:dyDescent="0.25">
      <c r="A17" s="149"/>
      <c r="B17" s="149"/>
      <c r="C17" s="149"/>
      <c r="D17" s="149"/>
    </row>
    <row r="18" spans="1:4" ht="33.6" customHeight="1" x14ac:dyDescent="0.25">
      <c r="A18" s="149"/>
      <c r="B18" s="149"/>
      <c r="C18" s="149"/>
      <c r="D18" s="149"/>
    </row>
    <row r="19" spans="1:4" ht="33.6" customHeight="1" x14ac:dyDescent="0.25">
      <c r="A19" s="149"/>
      <c r="B19" s="149"/>
      <c r="C19" s="149"/>
      <c r="D19" s="149"/>
    </row>
    <row r="20" spans="1:4" ht="33.6" customHeight="1" x14ac:dyDescent="0.25">
      <c r="A20" s="149"/>
      <c r="B20" s="149"/>
      <c r="C20" s="149"/>
      <c r="D20" s="149"/>
    </row>
    <row r="21" spans="1:4" ht="33.6" customHeight="1" x14ac:dyDescent="0.25">
      <c r="A21" s="149"/>
      <c r="B21" s="149"/>
      <c r="C21" s="149"/>
      <c r="D21" s="149"/>
    </row>
    <row r="22" spans="1:4" x14ac:dyDescent="0.25">
      <c r="A22" s="149"/>
      <c r="B22" s="149"/>
      <c r="C22" s="149"/>
      <c r="D22" s="149"/>
    </row>
    <row r="23" spans="1:4" x14ac:dyDescent="0.25">
      <c r="A23" s="149"/>
      <c r="B23" s="149"/>
      <c r="C23" s="149"/>
      <c r="D23" s="149"/>
    </row>
    <row r="24" spans="1:4" x14ac:dyDescent="0.25">
      <c r="A24" s="149"/>
      <c r="B24" s="149"/>
      <c r="C24" s="149"/>
      <c r="D24" s="149"/>
    </row>
    <row r="25" spans="1:4" x14ac:dyDescent="0.25">
      <c r="A25" s="149"/>
      <c r="B25" s="149"/>
      <c r="C25" s="149"/>
      <c r="D25" s="149"/>
    </row>
    <row r="26" spans="1:4" x14ac:dyDescent="0.25">
      <c r="A26" s="149"/>
      <c r="B26" s="149"/>
      <c r="C26" s="149"/>
      <c r="D26" s="149"/>
    </row>
    <row r="27" spans="1:4" x14ac:dyDescent="0.25">
      <c r="A27" s="149"/>
      <c r="B27" s="149"/>
      <c r="C27" s="149"/>
      <c r="D27" s="149"/>
    </row>
    <row r="28" spans="1:4" x14ac:dyDescent="0.25">
      <c r="A28" s="149"/>
      <c r="B28" s="149"/>
      <c r="C28" s="149"/>
      <c r="D28" s="149"/>
    </row>
    <row r="29" spans="1:4" x14ac:dyDescent="0.25">
      <c r="A29" s="149"/>
      <c r="B29" s="149"/>
      <c r="C29" s="149"/>
      <c r="D29" s="149"/>
    </row>
    <row r="30" spans="1:4" x14ac:dyDescent="0.25">
      <c r="C30" s="149"/>
      <c r="D30" s="149"/>
    </row>
    <row r="31" spans="1:4" x14ac:dyDescent="0.25">
      <c r="C31" s="149"/>
      <c r="D31" s="149"/>
    </row>
    <row r="32" spans="1:4" x14ac:dyDescent="0.25">
      <c r="C32" s="149"/>
      <c r="D32" s="149"/>
    </row>
    <row r="33" spans="3:4" x14ac:dyDescent="0.25">
      <c r="C33" s="149"/>
      <c r="D33" s="149"/>
    </row>
  </sheetData>
  <conditionalFormatting sqref="H11:I12">
    <cfRule type="cellIs" dxfId="95" priority="47" stopIfTrue="1" operator="lessThan">
      <formula>0.0001</formula>
    </cfRule>
    <cfRule type="cellIs" dxfId="94" priority="48" stopIfTrue="1" operator="lessThan">
      <formula>0.001</formula>
    </cfRule>
    <cfRule type="cellIs" dxfId="93" priority="49" stopIfTrue="1" operator="lessThan">
      <formula>0.05</formula>
    </cfRule>
    <cfRule type="cellIs" dxfId="92" priority="50" stopIfTrue="1" operator="lessThan">
      <formula>0.1</formula>
    </cfRule>
  </conditionalFormatting>
  <conditionalFormatting sqref="J11:J12">
    <cfRule type="containsText" dxfId="91" priority="43" stopIfTrue="1" operator="containsText" text="p&lt;0.001">
      <formula>NOT(ISERROR(SEARCH("p&lt;0.001",J11)))</formula>
    </cfRule>
    <cfRule type="containsText" dxfId="90" priority="44" stopIfTrue="1" operator="containsText" text="p&lt;0.01">
      <formula>NOT(ISERROR(SEARCH("p&lt;0.01",J11)))</formula>
    </cfRule>
    <cfRule type="containsText" dxfId="89" priority="45" stopIfTrue="1" operator="containsText" text="p&lt;0.05">
      <formula>NOT(ISERROR(SEARCH("p&lt;0.05",J11)))</formula>
    </cfRule>
    <cfRule type="containsText" dxfId="88" priority="46" stopIfTrue="1" operator="containsText" text="p&lt;0.1">
      <formula>NOT(ISERROR(SEARCH("p&lt;0.1",J11)))</formula>
    </cfRule>
  </conditionalFormatting>
  <conditionalFormatting sqref="H13:I14">
    <cfRule type="cellIs" dxfId="87" priority="39" stopIfTrue="1" operator="lessThan">
      <formula>0.0001</formula>
    </cfRule>
    <cfRule type="cellIs" dxfId="86" priority="40" stopIfTrue="1" operator="lessThan">
      <formula>0.001</formula>
    </cfRule>
    <cfRule type="cellIs" dxfId="85" priority="41" stopIfTrue="1" operator="lessThan">
      <formula>0.05</formula>
    </cfRule>
    <cfRule type="cellIs" dxfId="84" priority="42" stopIfTrue="1" operator="lessThan">
      <formula>0.1</formula>
    </cfRule>
  </conditionalFormatting>
  <conditionalFormatting sqref="J13:J14">
    <cfRule type="containsText" dxfId="83" priority="35" stopIfTrue="1" operator="containsText" text="p&lt;0.001">
      <formula>NOT(ISERROR(SEARCH("p&lt;0.001",J13)))</formula>
    </cfRule>
    <cfRule type="containsText" dxfId="82" priority="36" stopIfTrue="1" operator="containsText" text="p&lt;0.01">
      <formula>NOT(ISERROR(SEARCH("p&lt;0.01",J13)))</formula>
    </cfRule>
    <cfRule type="containsText" dxfId="81" priority="37" stopIfTrue="1" operator="containsText" text="p&lt;0.05">
      <formula>NOT(ISERROR(SEARCH("p&lt;0.05",J13)))</formula>
    </cfRule>
    <cfRule type="containsText" dxfId="80" priority="38" stopIfTrue="1" operator="containsText" text="p&lt;0.1">
      <formula>NOT(ISERROR(SEARCH("p&lt;0.1",J13)))</formula>
    </cfRule>
  </conditionalFormatting>
  <conditionalFormatting sqref="H3:I4">
    <cfRule type="cellIs" dxfId="79" priority="31" stopIfTrue="1" operator="lessThan">
      <formula>0.0001</formula>
    </cfRule>
    <cfRule type="cellIs" dxfId="78" priority="32" stopIfTrue="1" operator="lessThan">
      <formula>0.001</formula>
    </cfRule>
    <cfRule type="cellIs" dxfId="77" priority="33" stopIfTrue="1" operator="lessThan">
      <formula>0.05</formula>
    </cfRule>
    <cfRule type="cellIs" dxfId="76" priority="34" stopIfTrue="1" operator="lessThan">
      <formula>0.1</formula>
    </cfRule>
  </conditionalFormatting>
  <conditionalFormatting sqref="J3:J4">
    <cfRule type="containsText" dxfId="75" priority="18" stopIfTrue="1" operator="containsText" text="p&lt;0.0001">
      <formula>NOT(ISERROR(SEARCH("p&lt;0.0001",J3)))</formula>
    </cfRule>
    <cfRule type="containsText" dxfId="74" priority="27" stopIfTrue="1" operator="containsText" text="p&lt;0.001">
      <formula>NOT(ISERROR(SEARCH("p&lt;0.001",J3)))</formula>
    </cfRule>
    <cfRule type="containsText" dxfId="73" priority="28" stopIfTrue="1" operator="containsText" text="p&lt;0.01">
      <formula>NOT(ISERROR(SEARCH("p&lt;0.01",J3)))</formula>
    </cfRule>
    <cfRule type="containsText" dxfId="72" priority="29" stopIfTrue="1" operator="containsText" text="p&lt;0.05">
      <formula>NOT(ISERROR(SEARCH("p&lt;0.05",J3)))</formula>
    </cfRule>
    <cfRule type="containsText" dxfId="71" priority="30" stopIfTrue="1" operator="containsText" text="p&lt;0.1">
      <formula>NOT(ISERROR(SEARCH("p&lt;0.1",J3)))</formula>
    </cfRule>
  </conditionalFormatting>
  <conditionalFormatting sqref="H5:I6">
    <cfRule type="cellIs" dxfId="70" priority="23" stopIfTrue="1" operator="lessThan">
      <formula>0.0001</formula>
    </cfRule>
    <cfRule type="cellIs" dxfId="69" priority="24" stopIfTrue="1" operator="lessThan">
      <formula>0.001</formula>
    </cfRule>
    <cfRule type="cellIs" dxfId="68" priority="25" stopIfTrue="1" operator="lessThan">
      <formula>0.05</formula>
    </cfRule>
    <cfRule type="cellIs" dxfId="67" priority="26" stopIfTrue="1" operator="lessThan">
      <formula>0.1</formula>
    </cfRule>
  </conditionalFormatting>
  <conditionalFormatting sqref="J5:J6">
    <cfRule type="containsText" dxfId="66" priority="17" stopIfTrue="1" operator="containsText" text="p&lt;0.0001">
      <formula>NOT(ISERROR(SEARCH("p&lt;0.0001",J5)))</formula>
    </cfRule>
    <cfRule type="containsText" dxfId="65" priority="19" stopIfTrue="1" operator="containsText" text="p&lt;0.001">
      <formula>NOT(ISERROR(SEARCH("p&lt;0.001",J5)))</formula>
    </cfRule>
    <cfRule type="containsText" dxfId="64" priority="20" stopIfTrue="1" operator="containsText" text="p&lt;0.01">
      <formula>NOT(ISERROR(SEARCH("p&lt;0.01",J5)))</formula>
    </cfRule>
    <cfRule type="containsText" dxfId="63" priority="21" stopIfTrue="1" operator="containsText" text="p&lt;0.05">
      <formula>NOT(ISERROR(SEARCH("p&lt;0.05",J5)))</formula>
    </cfRule>
    <cfRule type="containsText" dxfId="62" priority="22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N33"/>
  <sheetViews>
    <sheetView showGridLines="0" zoomScale="90" zoomScaleNormal="90" workbookViewId="0">
      <selection activeCell="A11" sqref="A11"/>
    </sheetView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4" t="s">
        <v>82</v>
      </c>
      <c r="C1" s="166"/>
      <c r="D1" s="174"/>
      <c r="E1" s="174"/>
      <c r="F1" s="173"/>
      <c r="G1" s="173"/>
    </row>
    <row r="2" spans="1:14" ht="25.15" customHeight="1" thickTop="1" thickBot="1" x14ac:dyDescent="0.3">
      <c r="A2" s="163" t="s">
        <v>53</v>
      </c>
      <c r="B2" s="163" t="str">
        <f>[29]utt_f0_full_phon_b0!B1</f>
        <v>estimate</v>
      </c>
      <c r="C2" s="163" t="str">
        <f>[29]utt_f0_full_phon_b0!C1</f>
        <v>conf.low</v>
      </c>
      <c r="D2" s="163" t="str">
        <f>[29]utt_f0_full_phon_b0!D1</f>
        <v>conf.high</v>
      </c>
      <c r="E2" s="163" t="str">
        <f>[29]utt_f0_full_phon_b0!E1</f>
        <v>std.error</v>
      </c>
      <c r="F2" s="163" t="str">
        <f>[29]utt_f0_full_phon_b0!F1</f>
        <v>t.value</v>
      </c>
      <c r="G2" s="163" t="str">
        <f>[29]utt_f0_full_phon_b0!G1</f>
        <v>df</v>
      </c>
      <c r="H2" s="163" t="str">
        <f>[29]utt_f0_full_phon_b0!H1</f>
        <v>p.value</v>
      </c>
      <c r="I2" s="164" t="str">
        <f>[29]utt_f0_full_phon_b0!I1</f>
        <v>p.adj (BH)</v>
      </c>
      <c r="J2" s="164" t="str">
        <f>[29]utt_f0_full_phon_b0!J1</f>
        <v>signif.</v>
      </c>
      <c r="K2" s="163" t="s">
        <v>81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62">
        <f>[29]utt_f0_full_phon_b0!B2</f>
        <v>86.102999999999994</v>
      </c>
      <c r="C3" s="162">
        <f>[29]utt_f0_full_phon_b0!C2</f>
        <v>82.689550235795807</v>
      </c>
      <c r="D3" s="162">
        <f>[29]utt_f0_full_phon_b0!D2</f>
        <v>89.517098450922404</v>
      </c>
      <c r="E3" s="159">
        <f>[29]utt_f0_full_phon_b0!E2</f>
        <v>1.5549999999999999</v>
      </c>
      <c r="F3" s="159">
        <f>[29]utt_f0_full_phon_b0!F2</f>
        <v>55.389000000000003</v>
      </c>
      <c r="G3" s="159">
        <f>[29]utt_f0_full_phon_b0!G2</f>
        <v>11.21</v>
      </c>
      <c r="H3" s="161">
        <f>[29]utt_f0_full_phon_b0!H2</f>
        <v>5E-15</v>
      </c>
      <c r="I3" s="161">
        <f>[29]utt_f0_full_phon_b0!I2</f>
        <v>2.3999999999999999E-14</v>
      </c>
      <c r="J3" s="160" t="str">
        <f>[29]utt_f0_full_phon_b0!J2</f>
        <v>p&lt;0.0001</v>
      </c>
      <c r="K3" s="159">
        <f t="shared" ref="K3:K6" si="0">D3-B3</f>
        <v>3.4140984509224097</v>
      </c>
      <c r="M3" s="178">
        <f>[30]utt_f0_full_phon_r2!$B$3</f>
        <v>1.8544092869285801E-2</v>
      </c>
      <c r="N3" s="178">
        <f>[30]utt_f0_full_phon_r2!$B$2</f>
        <v>0.95092036274743896</v>
      </c>
    </row>
    <row r="4" spans="1:14" s="168" customFormat="1" ht="33.6" customHeight="1" thickBot="1" x14ac:dyDescent="0.3">
      <c r="A4" s="158" t="s">
        <v>15</v>
      </c>
      <c r="B4" s="158">
        <f>[29]utt_f0_full_phon_b0!B3</f>
        <v>86.563000000000002</v>
      </c>
      <c r="C4" s="158">
        <f>[29]utt_f0_full_phon_b0!C3</f>
        <v>83.483536238419006</v>
      </c>
      <c r="D4" s="158">
        <f>[29]utt_f0_full_phon_b0!D3</f>
        <v>89.641733582444701</v>
      </c>
      <c r="E4" s="155">
        <f>[29]utt_f0_full_phon_b0!E3</f>
        <v>1.4059999999999999</v>
      </c>
      <c r="F4" s="155">
        <f>[29]utt_f0_full_phon_b0!F3</f>
        <v>61.561999999999998</v>
      </c>
      <c r="G4" s="155">
        <f>[29]utt_f0_full_phon_b0!G3</f>
        <v>11.48</v>
      </c>
      <c r="H4" s="157">
        <f>[29]utt_f0_full_phon_b0!H3</f>
        <v>7.9000000000000002E-16</v>
      </c>
      <c r="I4" s="157">
        <f>[29]utt_f0_full_phon_b0!I3</f>
        <v>1E-14</v>
      </c>
      <c r="J4" s="156" t="str">
        <f>[29]utt_f0_full_phon_b0!J3</f>
        <v>p&lt;0.0001</v>
      </c>
      <c r="K4" s="155">
        <f t="shared" si="0"/>
        <v>3.0787335824446984</v>
      </c>
      <c r="M4" s="175"/>
      <c r="N4" s="175"/>
    </row>
    <row r="5" spans="1:14" s="168" customFormat="1" ht="33.6" customHeight="1" thickBot="1" x14ac:dyDescent="0.3">
      <c r="A5" s="158" t="s">
        <v>16</v>
      </c>
      <c r="B5" s="158">
        <f>[29]utt_f0_full_phon_b0!B4</f>
        <v>86.697000000000003</v>
      </c>
      <c r="C5" s="158">
        <f>[29]utt_f0_full_phon_b0!C4</f>
        <v>83.475080756363994</v>
      </c>
      <c r="D5" s="158">
        <f>[29]utt_f0_full_phon_b0!D4</f>
        <v>89.918034602516897</v>
      </c>
      <c r="E5" s="155">
        <f>[29]utt_f0_full_phon_b0!E4</f>
        <v>1.468</v>
      </c>
      <c r="F5" s="155">
        <f>[29]utt_f0_full_phon_b0!F4</f>
        <v>59.069000000000003</v>
      </c>
      <c r="G5" s="155">
        <f>[29]utt_f0_full_phon_b0!G4</f>
        <v>11.26</v>
      </c>
      <c r="H5" s="157">
        <f>[29]utt_f0_full_phon_b0!H4</f>
        <v>2.1999999999999999E-15</v>
      </c>
      <c r="I5" s="157">
        <f>[29]utt_f0_full_phon_b0!I4</f>
        <v>1.3E-14</v>
      </c>
      <c r="J5" s="156" t="str">
        <f>[29]utt_f0_full_phon_b0!J4</f>
        <v>p&lt;0.0001</v>
      </c>
      <c r="K5" s="155">
        <f t="shared" si="0"/>
        <v>3.2210346025168946</v>
      </c>
      <c r="M5" s="175"/>
      <c r="N5" s="175"/>
    </row>
    <row r="6" spans="1:14" s="168" customFormat="1" ht="33.6" customHeight="1" thickBot="1" x14ac:dyDescent="0.3">
      <c r="A6" s="154" t="s">
        <v>17</v>
      </c>
      <c r="B6" s="154">
        <f>[29]utt_f0_full_phon_b0!B5</f>
        <v>87.991</v>
      </c>
      <c r="C6" s="154">
        <f>[29]utt_f0_full_phon_b0!C5</f>
        <v>84.373204423542006</v>
      </c>
      <c r="D6" s="154">
        <f>[29]utt_f0_full_phon_b0!D5</f>
        <v>91.609749457138307</v>
      </c>
      <c r="E6" s="151">
        <f>[29]utt_f0_full_phon_b0!E5</f>
        <v>1.6439999999999999</v>
      </c>
      <c r="F6" s="151">
        <f>[29]utt_f0_full_phon_b0!F5</f>
        <v>53.527999999999999</v>
      </c>
      <c r="G6" s="151">
        <f>[29]utt_f0_full_phon_b0!G5</f>
        <v>11</v>
      </c>
      <c r="H6" s="153">
        <f>[29]utt_f0_full_phon_b0!H5</f>
        <v>1.1999999999999999E-14</v>
      </c>
      <c r="I6" s="153">
        <f>[29]utt_f0_full_phon_b0!I5</f>
        <v>4.4999999999999998E-14</v>
      </c>
      <c r="J6" s="152" t="str">
        <f>[29]utt_f0_full_phon_b0!J5</f>
        <v>p&lt;0.0001</v>
      </c>
      <c r="K6" s="151">
        <f t="shared" si="0"/>
        <v>3.618749457138307</v>
      </c>
      <c r="M6" s="175"/>
      <c r="N6" s="175"/>
    </row>
    <row r="7" spans="1:14" s="168" customFormat="1" x14ac:dyDescent="0.25">
      <c r="A7" s="149" t="s">
        <v>89</v>
      </c>
      <c r="B7" s="150">
        <f>_xlfn.STDEV.S(B3:B6)</f>
        <v>0.80934932713466512</v>
      </c>
      <c r="C7" s="171" t="s">
        <v>92</v>
      </c>
      <c r="D7" s="172">
        <f>_xlfn.VAR.S(B3:B6)</f>
        <v>0.65504633333333517</v>
      </c>
      <c r="E7" s="171"/>
      <c r="F7" s="170"/>
      <c r="G7" s="169" t="s">
        <v>93</v>
      </c>
      <c r="H7" s="276">
        <f>'Utt B0'!B7-'Utt full B0'!B7</f>
        <v>0.15619956684568304</v>
      </c>
      <c r="J7" s="168" t="s">
        <v>94</v>
      </c>
      <c r="K7" s="276">
        <f>'Utt B0'!D7-'Utt full B0'!D7</f>
        <v>0.27723833333333836</v>
      </c>
      <c r="M7" s="175"/>
      <c r="N7" s="175"/>
    </row>
    <row r="8" spans="1:14" s="168" customFormat="1" x14ac:dyDescent="0.25">
      <c r="A8" s="149" t="s">
        <v>90</v>
      </c>
      <c r="B8" s="274">
        <f>AVERAGE(B3:B6)</f>
        <v>86.838499999999996</v>
      </c>
      <c r="C8" s="171"/>
      <c r="D8" s="171"/>
      <c r="E8" s="171"/>
      <c r="F8" s="170"/>
      <c r="G8" s="169"/>
      <c r="M8" s="175"/>
      <c r="N8" s="175"/>
    </row>
    <row r="9" spans="1:14" s="165" customFormat="1" ht="33.6" customHeight="1" thickBot="1" x14ac:dyDescent="0.3">
      <c r="A9" s="167" t="s">
        <v>54</v>
      </c>
      <c r="B9" s="174" t="s">
        <v>82</v>
      </c>
      <c r="C9" s="174"/>
      <c r="D9" s="174"/>
      <c r="E9" s="166"/>
      <c r="G9" s="165" t="s">
        <v>52</v>
      </c>
      <c r="M9" s="175"/>
      <c r="N9" s="175"/>
    </row>
    <row r="10" spans="1:14" ht="25.15" customHeight="1" thickTop="1" thickBot="1" x14ac:dyDescent="0.3">
      <c r="A10" s="163" t="s">
        <v>53</v>
      </c>
      <c r="B10" s="273" t="str">
        <f>[31]utt_slope_full_phon_b0!B1</f>
        <v>estimate</v>
      </c>
      <c r="C10" s="273" t="str">
        <f>[31]utt_slope_full_phon_b0!C1</f>
        <v>conf.low</v>
      </c>
      <c r="D10" s="273" t="str">
        <f>[31]utt_slope_full_phon_b0!D1</f>
        <v>conf.high</v>
      </c>
      <c r="E10" s="163" t="str">
        <f>[31]utt_slope_full_phon_b0!E1</f>
        <v>std.error</v>
      </c>
      <c r="F10" s="163" t="str">
        <f>[31]utt_slope_full_phon_b0!F1</f>
        <v>t.value</v>
      </c>
      <c r="G10" s="163" t="str">
        <f>[31]utt_slope_full_phon_b0!G1</f>
        <v>df</v>
      </c>
      <c r="H10" s="163" t="str">
        <f>[31]utt_slope_full_phon_b0!H1</f>
        <v>p.value</v>
      </c>
      <c r="I10" s="164" t="str">
        <f>[31]utt_slope_full_phon_b0!I1</f>
        <v>p.adj (BH)</v>
      </c>
      <c r="J10" s="164" t="str">
        <f>[31]utt_slope_full_phon_b0!J1</f>
        <v>signif.</v>
      </c>
      <c r="K10" s="163" t="s">
        <v>81</v>
      </c>
      <c r="M10" s="163" t="s">
        <v>57</v>
      </c>
      <c r="N10" s="163" t="s">
        <v>56</v>
      </c>
    </row>
    <row r="11" spans="1:14" s="168" customFormat="1" ht="33.6" customHeight="1" thickTop="1" thickBot="1" x14ac:dyDescent="0.3">
      <c r="A11" s="162" t="s">
        <v>14</v>
      </c>
      <c r="B11" s="162">
        <f>[31]utt_slope_full_phon_b0!B2</f>
        <v>-2.3959999999999999</v>
      </c>
      <c r="C11" s="162">
        <f>[31]utt_slope_full_phon_b0!C2</f>
        <v>-6.9765219034267698</v>
      </c>
      <c r="D11" s="162">
        <f>[31]utt_slope_full_phon_b0!D2</f>
        <v>2.1849617930567602</v>
      </c>
      <c r="E11" s="159">
        <f>[31]utt_slope_full_phon_b0!E2</f>
        <v>1.9910000000000001</v>
      </c>
      <c r="F11" s="159">
        <f>[31]utt_slope_full_phon_b0!F2</f>
        <v>-1.2030000000000001</v>
      </c>
      <c r="G11" s="159">
        <f>[31]utt_slope_full_phon_b0!G2</f>
        <v>8.11</v>
      </c>
      <c r="H11" s="161">
        <f>[31]utt_slope_full_phon_b0!H2</f>
        <v>0.26300000000000001</v>
      </c>
      <c r="I11" s="161">
        <f>[31]utt_slope_full_phon_b0!I2</f>
        <v>0.27100000000000002</v>
      </c>
      <c r="J11" s="160">
        <f>[31]utt_slope_full_phon_b0!J2</f>
        <v>0</v>
      </c>
      <c r="K11" s="159">
        <f>D11-B11</f>
        <v>4.5809617930567601</v>
      </c>
      <c r="M11" s="178">
        <f>[32]utt_slope_full_phon_r2!$B$3</f>
        <v>0.21507796859329401</v>
      </c>
      <c r="N11" s="178">
        <f>[32]utt_slope_full_phon_r2!$B$2</f>
        <v>0.90924598576144</v>
      </c>
    </row>
    <row r="12" spans="1:14" s="168" customFormat="1" ht="33.6" customHeight="1" thickBot="1" x14ac:dyDescent="0.3">
      <c r="A12" s="158" t="s">
        <v>15</v>
      </c>
      <c r="B12" s="158">
        <f>[31]utt_slope_full_phon_b0!B3</f>
        <v>-4.5419999999999998</v>
      </c>
      <c r="C12" s="158">
        <f>[31]utt_slope_full_phon_b0!C3</f>
        <v>-9.2175803670468905</v>
      </c>
      <c r="D12" s="158">
        <f>[31]utt_slope_full_phon_b0!D3</f>
        <v>0.133573084832663</v>
      </c>
      <c r="E12" s="155">
        <f>[31]utt_slope_full_phon_b0!E3</f>
        <v>2.0840000000000001</v>
      </c>
      <c r="F12" s="155">
        <f>[31]utt_slope_full_phon_b0!F3</f>
        <v>-2.1789999999999998</v>
      </c>
      <c r="G12" s="155">
        <f>[31]utt_slope_full_phon_b0!G3</f>
        <v>9.5299999999999994</v>
      </c>
      <c r="H12" s="157">
        <f>[31]utt_slope_full_phon_b0!H3</f>
        <v>5.6000000000000001E-2</v>
      </c>
      <c r="I12" s="157">
        <f>[31]utt_slope_full_phon_b0!I3</f>
        <v>5.8999999999999997E-2</v>
      </c>
      <c r="J12" s="156">
        <f>[31]utt_slope_full_phon_b0!J3</f>
        <v>0</v>
      </c>
      <c r="K12" s="155">
        <f t="shared" ref="K12:K14" si="1">D12-B12</f>
        <v>4.6755730848326627</v>
      </c>
    </row>
    <row r="13" spans="1:14" s="168" customFormat="1" ht="33.6" customHeight="1" thickBot="1" x14ac:dyDescent="0.3">
      <c r="A13" s="158" t="s">
        <v>16</v>
      </c>
      <c r="B13" s="158">
        <f>[31]utt_slope_full_phon_b0!B4</f>
        <v>0.55700000000000005</v>
      </c>
      <c r="C13" s="158">
        <f>[31]utt_slope_full_phon_b0!C4</f>
        <v>-4.0108667936125304</v>
      </c>
      <c r="D13" s="158">
        <f>[31]utt_slope_full_phon_b0!D4</f>
        <v>5.1251249075484697</v>
      </c>
      <c r="E13" s="155">
        <f>[31]utt_slope_full_phon_b0!E4</f>
        <v>1.9710000000000001</v>
      </c>
      <c r="F13" s="155">
        <f>[31]utt_slope_full_phon_b0!F4</f>
        <v>0.28299999999999997</v>
      </c>
      <c r="G13" s="155">
        <f>[31]utt_slope_full_phon_b0!G4</f>
        <v>7.79</v>
      </c>
      <c r="H13" s="157">
        <f>[31]utt_slope_full_phon_b0!H4</f>
        <v>0.78500000000000003</v>
      </c>
      <c r="I13" s="157">
        <f>[31]utt_slope_full_phon_b0!I4</f>
        <v>0.78500000000000003</v>
      </c>
      <c r="J13" s="156">
        <f>[31]utt_slope_full_phon_b0!J4</f>
        <v>0</v>
      </c>
      <c r="K13" s="155">
        <f t="shared" si="1"/>
        <v>4.5681249075484693</v>
      </c>
    </row>
    <row r="14" spans="1:14" s="168" customFormat="1" ht="33.6" customHeight="1" thickBot="1" x14ac:dyDescent="0.3">
      <c r="A14" s="154" t="s">
        <v>17</v>
      </c>
      <c r="B14" s="154">
        <f>[31]utt_slope_full_phon_b0!B5</f>
        <v>2.8029999999999999</v>
      </c>
      <c r="C14" s="154">
        <f>[31]utt_slope_full_phon_b0!C5</f>
        <v>-1.88741630963287</v>
      </c>
      <c r="D14" s="154">
        <f>[31]utt_slope_full_phon_b0!D5</f>
        <v>7.4924614157353098</v>
      </c>
      <c r="E14" s="151">
        <f>[31]utt_slope_full_phon_b0!E5</f>
        <v>2.093</v>
      </c>
      <c r="F14" s="151">
        <f>[31]utt_slope_full_phon_b0!F5</f>
        <v>1.339</v>
      </c>
      <c r="G14" s="151">
        <f>[31]utt_slope_full_phon_b0!G5</f>
        <v>9.59</v>
      </c>
      <c r="H14" s="153">
        <f>[31]utt_slope_full_phon_b0!H5</f>
        <v>0.21099999999999999</v>
      </c>
      <c r="I14" s="153">
        <f>[31]utt_slope_full_phon_b0!I5</f>
        <v>0.222</v>
      </c>
      <c r="J14" s="152">
        <f>[31]utt_slope_full_phon_b0!J5</f>
        <v>0</v>
      </c>
      <c r="K14" s="151">
        <f t="shared" si="1"/>
        <v>4.6894614157353098</v>
      </c>
    </row>
    <row r="15" spans="1:14" x14ac:dyDescent="0.25">
      <c r="A15" s="149" t="s">
        <v>89</v>
      </c>
      <c r="B15" s="150">
        <f>_xlfn.STDEV.S(B11:B14)</f>
        <v>3.2319816934300021</v>
      </c>
      <c r="C15" s="171" t="s">
        <v>92</v>
      </c>
      <c r="D15" s="171">
        <f>_xlfn.VAR.S(B11:B14)</f>
        <v>10.445705666666665</v>
      </c>
      <c r="G15" s="169" t="s">
        <v>93</v>
      </c>
      <c r="H15" s="276">
        <f>'Utt B0'!B15-'Utt full B0'!B15</f>
        <v>0.73685905881323555</v>
      </c>
      <c r="J15" s="168" t="s">
        <v>94</v>
      </c>
      <c r="K15" s="276">
        <f>'Utt B0'!D15-'Utt full B0'!D15</f>
        <v>5.3059912500000017</v>
      </c>
    </row>
    <row r="16" spans="1:14" x14ac:dyDescent="0.25">
      <c r="A16" s="149" t="s">
        <v>90</v>
      </c>
      <c r="B16" s="150">
        <f>AVERAGE(B11:B14)</f>
        <v>-0.89449999999999985</v>
      </c>
      <c r="C16" s="149"/>
      <c r="D16" s="149"/>
    </row>
    <row r="17" spans="1:4" ht="33.6" customHeight="1" x14ac:dyDescent="0.25">
      <c r="A17" s="149"/>
      <c r="B17" s="149"/>
      <c r="C17" s="149"/>
      <c r="D17" s="149"/>
    </row>
    <row r="18" spans="1:4" ht="33.6" customHeight="1" x14ac:dyDescent="0.25">
      <c r="A18" s="149"/>
      <c r="B18" s="149"/>
      <c r="C18" s="149"/>
      <c r="D18" s="149"/>
    </row>
    <row r="19" spans="1:4" ht="33.6" customHeight="1" x14ac:dyDescent="0.25">
      <c r="A19" s="149"/>
      <c r="B19" s="149"/>
      <c r="C19" s="149"/>
      <c r="D19" s="149"/>
    </row>
    <row r="20" spans="1:4" ht="33.6" customHeight="1" x14ac:dyDescent="0.25">
      <c r="A20" s="149"/>
      <c r="B20" s="149"/>
      <c r="C20" s="149"/>
      <c r="D20" s="149"/>
    </row>
    <row r="21" spans="1:4" ht="33.6" customHeight="1" x14ac:dyDescent="0.25">
      <c r="A21" s="149"/>
      <c r="B21" s="149"/>
      <c r="C21" s="149"/>
      <c r="D21" s="149"/>
    </row>
    <row r="22" spans="1:4" x14ac:dyDescent="0.25">
      <c r="A22" s="149"/>
      <c r="B22" s="149"/>
      <c r="C22" s="149"/>
      <c r="D22" s="149"/>
    </row>
    <row r="23" spans="1:4" x14ac:dyDescent="0.25">
      <c r="A23" s="149"/>
      <c r="B23" s="149"/>
      <c r="C23" s="149"/>
      <c r="D23" s="149"/>
    </row>
    <row r="24" spans="1:4" x14ac:dyDescent="0.25">
      <c r="A24" s="149"/>
      <c r="B24" s="149"/>
      <c r="C24" s="149"/>
      <c r="D24" s="149"/>
    </row>
    <row r="25" spans="1:4" x14ac:dyDescent="0.25">
      <c r="A25" s="149"/>
      <c r="B25" s="149"/>
      <c r="C25" s="149"/>
      <c r="D25" s="149"/>
    </row>
    <row r="26" spans="1:4" x14ac:dyDescent="0.25">
      <c r="A26" s="149"/>
      <c r="B26" s="149"/>
      <c r="C26" s="149"/>
      <c r="D26" s="149"/>
    </row>
    <row r="27" spans="1:4" x14ac:dyDescent="0.25">
      <c r="A27" s="149"/>
      <c r="B27" s="149"/>
      <c r="C27" s="149"/>
      <c r="D27" s="149"/>
    </row>
    <row r="28" spans="1:4" x14ac:dyDescent="0.25">
      <c r="A28" s="149"/>
      <c r="B28" s="149"/>
      <c r="C28" s="149"/>
      <c r="D28" s="149"/>
    </row>
    <row r="29" spans="1:4" x14ac:dyDescent="0.25">
      <c r="A29" s="149"/>
      <c r="B29" s="149"/>
      <c r="C29" s="149"/>
      <c r="D29" s="149"/>
    </row>
    <row r="30" spans="1:4" x14ac:dyDescent="0.25">
      <c r="C30" s="149"/>
      <c r="D30" s="149"/>
    </row>
    <row r="31" spans="1:4" x14ac:dyDescent="0.25">
      <c r="C31" s="149"/>
      <c r="D31" s="149"/>
    </row>
    <row r="32" spans="1:4" x14ac:dyDescent="0.25">
      <c r="C32" s="149"/>
      <c r="D32" s="149"/>
    </row>
    <row r="33" spans="3:4" x14ac:dyDescent="0.25">
      <c r="C33" s="149"/>
      <c r="D33" s="149"/>
    </row>
  </sheetData>
  <conditionalFormatting sqref="H11:I12">
    <cfRule type="cellIs" dxfId="61" priority="31" stopIfTrue="1" operator="lessThan">
      <formula>0.0001</formula>
    </cfRule>
    <cfRule type="cellIs" dxfId="60" priority="32" stopIfTrue="1" operator="lessThan">
      <formula>0.001</formula>
    </cfRule>
    <cfRule type="cellIs" dxfId="59" priority="33" stopIfTrue="1" operator="lessThan">
      <formula>0.05</formula>
    </cfRule>
    <cfRule type="cellIs" dxfId="58" priority="34" stopIfTrue="1" operator="lessThan">
      <formula>0.1</formula>
    </cfRule>
  </conditionalFormatting>
  <conditionalFormatting sqref="J11:J12">
    <cfRule type="containsText" dxfId="57" priority="27" stopIfTrue="1" operator="containsText" text="p&lt;0.001">
      <formula>NOT(ISERROR(SEARCH("p&lt;0.001",J11)))</formula>
    </cfRule>
    <cfRule type="containsText" dxfId="56" priority="28" stopIfTrue="1" operator="containsText" text="p&lt;0.01">
      <formula>NOT(ISERROR(SEARCH("p&lt;0.01",J11)))</formula>
    </cfRule>
    <cfRule type="containsText" dxfId="55" priority="29" stopIfTrue="1" operator="containsText" text="p&lt;0.05">
      <formula>NOT(ISERROR(SEARCH("p&lt;0.05",J11)))</formula>
    </cfRule>
    <cfRule type="containsText" dxfId="54" priority="30" stopIfTrue="1" operator="containsText" text="p&lt;0.1">
      <formula>NOT(ISERROR(SEARCH("p&lt;0.1",J11)))</formula>
    </cfRule>
  </conditionalFormatting>
  <conditionalFormatting sqref="H13:I14">
    <cfRule type="cellIs" dxfId="53" priority="23" stopIfTrue="1" operator="lessThan">
      <formula>0.0001</formula>
    </cfRule>
    <cfRule type="cellIs" dxfId="52" priority="24" stopIfTrue="1" operator="lessThan">
      <formula>0.001</formula>
    </cfRule>
    <cfRule type="cellIs" dxfId="51" priority="25" stopIfTrue="1" operator="lessThan">
      <formula>0.05</formula>
    </cfRule>
    <cfRule type="cellIs" dxfId="50" priority="26" stopIfTrue="1" operator="lessThan">
      <formula>0.1</formula>
    </cfRule>
  </conditionalFormatting>
  <conditionalFormatting sqref="J13:J14">
    <cfRule type="containsText" dxfId="49" priority="19" stopIfTrue="1" operator="containsText" text="p&lt;0.001">
      <formula>NOT(ISERROR(SEARCH("p&lt;0.001",J13)))</formula>
    </cfRule>
    <cfRule type="containsText" dxfId="48" priority="20" stopIfTrue="1" operator="containsText" text="p&lt;0.01">
      <formula>NOT(ISERROR(SEARCH("p&lt;0.01",J13)))</formula>
    </cfRule>
    <cfRule type="containsText" dxfId="47" priority="21" stopIfTrue="1" operator="containsText" text="p&lt;0.05">
      <formula>NOT(ISERROR(SEARCH("p&lt;0.05",J13)))</formula>
    </cfRule>
    <cfRule type="containsText" dxfId="46" priority="22" stopIfTrue="1" operator="containsText" text="p&lt;0.1">
      <formula>NOT(ISERROR(SEARCH("p&lt;0.1",J13)))</formula>
    </cfRule>
  </conditionalFormatting>
  <conditionalFormatting sqref="H3:I4">
    <cfRule type="cellIs" dxfId="45" priority="15" stopIfTrue="1" operator="lessThan">
      <formula>0.0001</formula>
    </cfRule>
    <cfRule type="cellIs" dxfId="44" priority="16" stopIfTrue="1" operator="lessThan">
      <formula>0.001</formula>
    </cfRule>
    <cfRule type="cellIs" dxfId="43" priority="17" stopIfTrue="1" operator="lessThan">
      <formula>0.05</formula>
    </cfRule>
    <cfRule type="cellIs" dxfId="42" priority="18" stopIfTrue="1" operator="lessThan">
      <formula>0.1</formula>
    </cfRule>
  </conditionalFormatting>
  <conditionalFormatting sqref="J3:J4">
    <cfRule type="containsText" dxfId="41" priority="2" stopIfTrue="1" operator="containsText" text="p&lt;0.0001">
      <formula>NOT(ISERROR(SEARCH("p&lt;0.0001",J3)))</formula>
    </cfRule>
    <cfRule type="containsText" dxfId="40" priority="11" stopIfTrue="1" operator="containsText" text="p&lt;0.001">
      <formula>NOT(ISERROR(SEARCH("p&lt;0.001",J3)))</formula>
    </cfRule>
    <cfRule type="containsText" dxfId="39" priority="12" stopIfTrue="1" operator="containsText" text="p&lt;0.01">
      <formula>NOT(ISERROR(SEARCH("p&lt;0.01",J3)))</formula>
    </cfRule>
    <cfRule type="containsText" dxfId="38" priority="13" stopIfTrue="1" operator="containsText" text="p&lt;0.05">
      <formula>NOT(ISERROR(SEARCH("p&lt;0.05",J3)))</formula>
    </cfRule>
    <cfRule type="containsText" dxfId="37" priority="14" stopIfTrue="1" operator="containsText" text="p&lt;0.1">
      <formula>NOT(ISERROR(SEARCH("p&lt;0.1",J3)))</formula>
    </cfRule>
  </conditionalFormatting>
  <conditionalFormatting sqref="H5:I6">
    <cfRule type="cellIs" dxfId="36" priority="7" stopIfTrue="1" operator="lessThan">
      <formula>0.0001</formula>
    </cfRule>
    <cfRule type="cellIs" dxfId="35" priority="8" stopIfTrue="1" operator="lessThan">
      <formula>0.001</formula>
    </cfRule>
    <cfRule type="cellIs" dxfId="34" priority="9" stopIfTrue="1" operator="lessThan">
      <formula>0.05</formula>
    </cfRule>
    <cfRule type="cellIs" dxfId="33" priority="10" stopIfTrue="1" operator="lessThan">
      <formula>0.1</formula>
    </cfRule>
  </conditionalFormatting>
  <conditionalFormatting sqref="J5:J6">
    <cfRule type="containsText" dxfId="32" priority="1" stopIfTrue="1" operator="containsText" text="p&lt;0.0001">
      <formula>NOT(ISERROR(SEARCH("p&lt;0.0001",J5)))</formula>
    </cfRule>
    <cfRule type="containsText" dxfId="31" priority="3" stopIfTrue="1" operator="containsText" text="p&lt;0.001">
      <formula>NOT(ISERROR(SEARCH("p&lt;0.001",J5)))</formula>
    </cfRule>
    <cfRule type="containsText" dxfId="30" priority="4" stopIfTrue="1" operator="containsText" text="p&lt;0.01">
      <formula>NOT(ISERROR(SEARCH("p&lt;0.01",J5)))</formula>
    </cfRule>
    <cfRule type="containsText" dxfId="29" priority="5" stopIfTrue="1" operator="containsText" text="p&lt;0.05">
      <formula>NOT(ISERROR(SEARCH("p&lt;0.05",J5)))</formula>
    </cfRule>
    <cfRule type="containsText" dxfId="28" priority="6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L20"/>
  <sheetViews>
    <sheetView showGridLines="0" zoomScale="90" zoomScaleNormal="90" workbookViewId="0">
      <selection activeCell="B18" sqref="B18"/>
    </sheetView>
  </sheetViews>
  <sheetFormatPr defaultColWidth="8.85546875" defaultRowHeight="15" x14ac:dyDescent="0.25"/>
  <cols>
    <col min="1" max="1" width="14.140625" style="175" bestFit="1" customWidth="1"/>
    <col min="2" max="2" width="7.140625" style="175" customWidth="1"/>
    <col min="3" max="3" width="12.7109375" style="175" customWidth="1"/>
    <col min="4" max="4" width="11.140625" style="175" customWidth="1"/>
    <col min="5" max="6" width="11.28515625" style="175" customWidth="1"/>
    <col min="7" max="7" width="12.5703125" style="175" customWidth="1"/>
    <col min="8" max="8" width="11.42578125" style="175" customWidth="1"/>
    <col min="9" max="9" width="11.7109375" style="175" customWidth="1"/>
    <col min="10" max="10" width="10.140625" style="175" customWidth="1"/>
    <col min="11" max="11" width="10.28515625" style="175" customWidth="1"/>
    <col min="12" max="16384" width="8.85546875" style="175"/>
  </cols>
  <sheetData>
    <row r="1" spans="1:12" ht="31.5" thickBot="1" x14ac:dyDescent="0.3">
      <c r="A1" s="167" t="s">
        <v>55</v>
      </c>
    </row>
    <row r="2" spans="1:12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80" t="s">
        <v>64</v>
      </c>
    </row>
    <row r="3" spans="1:12" ht="33.6" customHeight="1" thickTop="1" thickBot="1" x14ac:dyDescent="0.3">
      <c r="A3" s="162" t="s">
        <v>14</v>
      </c>
      <c r="B3" s="159" t="s">
        <v>15</v>
      </c>
      <c r="C3" s="159">
        <f>[33]utt_f0_b1!C2</f>
        <v>0.47099999999999997</v>
      </c>
      <c r="D3" s="159">
        <f>[33]utt_f0_b1!D2</f>
        <v>-0.22015365295248701</v>
      </c>
      <c r="E3" s="159">
        <f>[33]utt_f0_b1!E2</f>
        <v>1.1619712718434301</v>
      </c>
      <c r="F3" s="159">
        <f>[33]utt_f0_b1!F2</f>
        <v>0.31</v>
      </c>
      <c r="G3" s="159">
        <f>[33]utt_f0_b1!G2</f>
        <v>1.5169999999999999</v>
      </c>
      <c r="H3" s="161">
        <f>[33]utt_f0_b1!H2</f>
        <v>10.06</v>
      </c>
      <c r="I3" s="161">
        <f>[33]utt_f0_b1!I2</f>
        <v>0.16</v>
      </c>
      <c r="J3" s="161">
        <f>[33]utt_f0_b1!J2</f>
        <v>0.22600000000000001</v>
      </c>
      <c r="K3" s="162">
        <f>[33]utt_f0_b1!K2</f>
        <v>0</v>
      </c>
      <c r="L3" s="181">
        <f t="shared" ref="L3:L8" si="0">C3-D3</f>
        <v>0.69115365295248699</v>
      </c>
    </row>
    <row r="4" spans="1:12" ht="33.6" customHeight="1" thickBot="1" x14ac:dyDescent="0.3">
      <c r="A4" s="158" t="s">
        <v>14</v>
      </c>
      <c r="B4" s="155" t="s">
        <v>16</v>
      </c>
      <c r="C4" s="155">
        <f>[33]utt_f0_b1!C3</f>
        <v>0.76</v>
      </c>
      <c r="D4" s="155">
        <f>[33]utt_f0_b1!D3</f>
        <v>0.20624707042249599</v>
      </c>
      <c r="E4" s="155">
        <f>[33]utt_f0_b1!E3</f>
        <v>1.3142037452130699</v>
      </c>
      <c r="F4" s="155">
        <f>[33]utt_f0_b1!F3</f>
        <v>0.249</v>
      </c>
      <c r="G4" s="155">
        <f>[33]utt_f0_b1!G3</f>
        <v>3.0550000000000002</v>
      </c>
      <c r="H4" s="157">
        <f>[33]utt_f0_b1!H3</f>
        <v>10.06</v>
      </c>
      <c r="I4" s="157">
        <f>[33]utt_f0_b1!I3</f>
        <v>1.2E-2</v>
      </c>
      <c r="J4" s="157">
        <f>[33]utt_f0_b1!J3</f>
        <v>2.1000000000000001E-2</v>
      </c>
      <c r="K4" s="158" t="str">
        <f>[33]utt_f0_b1!K3</f>
        <v>p&lt;0.05</v>
      </c>
      <c r="L4" s="181">
        <f t="shared" si="0"/>
        <v>0.55375292957750399</v>
      </c>
    </row>
    <row r="5" spans="1:12" ht="33.6" customHeight="1" thickBot="1" x14ac:dyDescent="0.3">
      <c r="A5" s="158" t="s">
        <v>14</v>
      </c>
      <c r="B5" s="155" t="s">
        <v>17</v>
      </c>
      <c r="C5" s="155">
        <f>[33]utt_f0_b1!C4</f>
        <v>2.2370000000000001</v>
      </c>
      <c r="D5" s="155">
        <f>[33]utt_f0_b1!D4</f>
        <v>1.27929253555636</v>
      </c>
      <c r="E5" s="155">
        <f>[33]utt_f0_b1!E4</f>
        <v>3.1941262549499299</v>
      </c>
      <c r="F5" s="155">
        <f>[33]utt_f0_b1!F4</f>
        <v>0.43</v>
      </c>
      <c r="G5" s="155">
        <f>[33]utt_f0_b1!G4</f>
        <v>5.2039999999999997</v>
      </c>
      <c r="H5" s="157">
        <f>[33]utt_f0_b1!H4</f>
        <v>10.029999999999999</v>
      </c>
      <c r="I5" s="157">
        <f>[33]utt_f0_b1!I4</f>
        <v>4.0000000000000002E-4</v>
      </c>
      <c r="J5" s="157">
        <f>[33]utt_f0_b1!J4</f>
        <v>1E-3</v>
      </c>
      <c r="K5" s="158" t="str">
        <f>[33]utt_f0_b1!K4</f>
        <v>p&lt;0.01</v>
      </c>
      <c r="L5" s="181">
        <f t="shared" si="0"/>
        <v>0.95770746444364008</v>
      </c>
    </row>
    <row r="6" spans="1:12" ht="33.6" customHeight="1" thickBot="1" x14ac:dyDescent="0.3">
      <c r="A6" s="158" t="s">
        <v>15</v>
      </c>
      <c r="B6" s="155" t="s">
        <v>16</v>
      </c>
      <c r="C6" s="155">
        <f>[33]utt_f0_b1!C5</f>
        <v>0.28899999999999998</v>
      </c>
      <c r="D6" s="155">
        <f>[33]utt_f0_b1!D5</f>
        <v>-0.27415618944855602</v>
      </c>
      <c r="E6" s="155">
        <f>[33]utt_f0_b1!E5</f>
        <v>0.85278924152352698</v>
      </c>
      <c r="F6" s="155">
        <f>[33]utt_f0_b1!F5</f>
        <v>0.253</v>
      </c>
      <c r="G6" s="155">
        <f>[33]utt_f0_b1!G5</f>
        <v>1.1439999999999999</v>
      </c>
      <c r="H6" s="157">
        <f>[33]utt_f0_b1!H5</f>
        <v>9.98</v>
      </c>
      <c r="I6" s="157">
        <f>[33]utt_f0_b1!I5</f>
        <v>0.27900000000000003</v>
      </c>
      <c r="J6" s="157">
        <f>[33]utt_f0_b1!J5</f>
        <v>0.36699999999999999</v>
      </c>
      <c r="K6" s="158">
        <f>[33]utt_f0_b1!K5</f>
        <v>0</v>
      </c>
      <c r="L6" s="181">
        <f t="shared" si="0"/>
        <v>0.56315618944855594</v>
      </c>
    </row>
    <row r="7" spans="1:12" ht="33.6" customHeight="1" thickBot="1" x14ac:dyDescent="0.3">
      <c r="A7" s="158" t="s">
        <v>15</v>
      </c>
      <c r="B7" s="155" t="s">
        <v>17</v>
      </c>
      <c r="C7" s="155">
        <f>[33]utt_f0_b1!C6</f>
        <v>1.766</v>
      </c>
      <c r="D7" s="155">
        <f>[33]utt_f0_b1!D6</f>
        <v>0.392873023230355</v>
      </c>
      <c r="E7" s="155">
        <f>[33]utt_f0_b1!E6</f>
        <v>3.1387273895439902</v>
      </c>
      <c r="F7" s="155">
        <f>[33]utt_f0_b1!F6</f>
        <v>0.61599999999999999</v>
      </c>
      <c r="G7" s="155">
        <f>[33]utt_f0_b1!G6</f>
        <v>2.8650000000000002</v>
      </c>
      <c r="H7" s="157">
        <f>[33]utt_f0_b1!H6</f>
        <v>10.02</v>
      </c>
      <c r="I7" s="157">
        <f>[33]utt_f0_b1!I6</f>
        <v>1.7000000000000001E-2</v>
      </c>
      <c r="J7" s="157">
        <f>[33]utt_f0_b1!J6</f>
        <v>2.9000000000000001E-2</v>
      </c>
      <c r="K7" s="158" t="str">
        <f>[33]utt_f0_b1!K6</f>
        <v>p&lt;0.05</v>
      </c>
      <c r="L7" s="181">
        <f t="shared" si="0"/>
        <v>1.373126976769645</v>
      </c>
    </row>
    <row r="8" spans="1:12" ht="33" customHeight="1" thickBot="1" x14ac:dyDescent="0.3">
      <c r="A8" s="154" t="s">
        <v>16</v>
      </c>
      <c r="B8" s="151" t="s">
        <v>17</v>
      </c>
      <c r="C8" s="151">
        <f>[33]utt_f0_b1!C7</f>
        <v>1.476</v>
      </c>
      <c r="D8" s="151">
        <f>[33]utt_f0_b1!D7</f>
        <v>0.18253335878347399</v>
      </c>
      <c r="E8" s="151">
        <f>[33]utt_f0_b1!E7</f>
        <v>2.7704356031870798</v>
      </c>
      <c r="F8" s="151">
        <f>[33]utt_f0_b1!F7</f>
        <v>0.58099999999999996</v>
      </c>
      <c r="G8" s="151">
        <f>[33]utt_f0_b1!G7</f>
        <v>2.5409999999999999</v>
      </c>
      <c r="H8" s="153">
        <f>[33]utt_f0_b1!H7</f>
        <v>10.039999999999999</v>
      </c>
      <c r="I8" s="153">
        <f>[33]utt_f0_b1!I7</f>
        <v>2.9000000000000001E-2</v>
      </c>
      <c r="J8" s="153">
        <f>[33]utt_f0_b1!J7</f>
        <v>4.7E-2</v>
      </c>
      <c r="K8" s="154" t="str">
        <f>[33]utt_f0_b1!K7</f>
        <v>p&lt;0.05</v>
      </c>
      <c r="L8" s="181">
        <f t="shared" si="0"/>
        <v>1.2934666412165261</v>
      </c>
    </row>
    <row r="9" spans="1:12" x14ac:dyDescent="0.25">
      <c r="A9" s="149" t="s">
        <v>89</v>
      </c>
      <c r="B9" s="150">
        <f>_xlfn.STDEV.S(C3:C8)</f>
        <v>0.77719103185767646</v>
      </c>
      <c r="D9" s="175" t="s">
        <v>92</v>
      </c>
      <c r="E9" s="275">
        <f>_xlfn.VAR.S(C3:C8)</f>
        <v>0.60402589999999989</v>
      </c>
    </row>
    <row r="10" spans="1:12" x14ac:dyDescent="0.25">
      <c r="A10" s="149" t="s">
        <v>90</v>
      </c>
      <c r="B10" s="274">
        <f>AVERAGE(C3:C8)</f>
        <v>1.1664999999999999</v>
      </c>
    </row>
    <row r="11" spans="1:12" ht="33" customHeight="1" thickBot="1" x14ac:dyDescent="0.3">
      <c r="A11" s="167" t="s">
        <v>54</v>
      </c>
    </row>
    <row r="12" spans="1:12" ht="25.15" customHeight="1" thickTop="1" thickBot="1" x14ac:dyDescent="0.3">
      <c r="A12" s="163" t="str">
        <f>[34]utt_slope_b1!A1</f>
        <v>intercept</v>
      </c>
      <c r="B12" s="163" t="str">
        <f>[34]utt_slope_b1!B1</f>
        <v>slope</v>
      </c>
      <c r="C12" s="163" t="str">
        <f>[34]utt_slope_b1!C1</f>
        <v>estimate</v>
      </c>
      <c r="D12" s="163" t="str">
        <f>[34]utt_slope_b1!D1</f>
        <v>conf.low</v>
      </c>
      <c r="E12" s="163" t="str">
        <f>[34]utt_slope_b1!E1</f>
        <v>conf.high</v>
      </c>
      <c r="F12" s="163" t="str">
        <f>[34]utt_slope_b1!F1</f>
        <v>std.error</v>
      </c>
      <c r="G12" s="163" t="str">
        <f>[34]utt_slope_b1!G1</f>
        <v>t.value</v>
      </c>
      <c r="H12" s="163" t="str">
        <f>[34]utt_slope_b1!H1</f>
        <v>df</v>
      </c>
      <c r="I12" s="164" t="str">
        <f>[34]utt_slope_b1!I1</f>
        <v>p.value</v>
      </c>
      <c r="J12" s="164" t="str">
        <f>[34]utt_slope_b1!J1</f>
        <v>p.adj (BH)</v>
      </c>
      <c r="K12" s="163" t="str">
        <f>[34]utt_slope_b1!K1</f>
        <v>signif.</v>
      </c>
      <c r="L12" s="180" t="s">
        <v>64</v>
      </c>
    </row>
    <row r="13" spans="1:12" ht="33.6" customHeight="1" thickTop="1" thickBot="1" x14ac:dyDescent="0.3">
      <c r="A13" s="162" t="s">
        <v>14</v>
      </c>
      <c r="B13" s="159" t="s">
        <v>15</v>
      </c>
      <c r="C13" s="159">
        <f>[34]utt_slope_b1!C2</f>
        <v>-2.4249999999999998</v>
      </c>
      <c r="D13" s="159">
        <f>[34]utt_slope_b1!D2</f>
        <v>-5.1648506748671297</v>
      </c>
      <c r="E13" s="159">
        <f>[34]utt_slope_b1!E2</f>
        <v>0.31476883778365999</v>
      </c>
      <c r="F13" s="159">
        <f>[34]utt_slope_b1!F2</f>
        <v>1.23</v>
      </c>
      <c r="G13" s="159">
        <f>[34]utt_slope_b1!G2</f>
        <v>-1.972</v>
      </c>
      <c r="H13" s="159">
        <f>[34]utt_slope_b1!H2</f>
        <v>9.99</v>
      </c>
      <c r="I13" s="161">
        <f>[34]utt_slope_b1!I2</f>
        <v>7.6999999999999999E-2</v>
      </c>
      <c r="J13" s="279">
        <f>[34]utt_slope_b1!J2</f>
        <v>0.115</v>
      </c>
      <c r="K13" s="162">
        <f>[34]utt_slope_b1!K2</f>
        <v>0</v>
      </c>
      <c r="L13" s="181">
        <f t="shared" ref="L13:L18" si="1">C13-D13</f>
        <v>2.7398506748671299</v>
      </c>
    </row>
    <row r="14" spans="1:12" ht="33.6" customHeight="1" thickBot="1" x14ac:dyDescent="0.3">
      <c r="A14" s="158" t="s">
        <v>14</v>
      </c>
      <c r="B14" s="155" t="s">
        <v>16</v>
      </c>
      <c r="C14" s="155">
        <f>[34]utt_slope_b1!C3</f>
        <v>3.55</v>
      </c>
      <c r="D14" s="155">
        <f>[34]utt_slope_b1!D3</f>
        <v>1.68861578034655</v>
      </c>
      <c r="E14" s="155">
        <f>[34]utt_slope_b1!E3</f>
        <v>5.4106698103847899</v>
      </c>
      <c r="F14" s="155">
        <f>[34]utt_slope_b1!F3</f>
        <v>0.83499999999999996</v>
      </c>
      <c r="G14" s="155">
        <f>[34]utt_slope_b1!G3</f>
        <v>4.2510000000000003</v>
      </c>
      <c r="H14" s="177">
        <f>[34]utt_slope_b1!H3</f>
        <v>9.99</v>
      </c>
      <c r="I14" s="157">
        <f>[34]utt_slope_b1!I3</f>
        <v>2E-3</v>
      </c>
      <c r="J14" s="177">
        <f>[34]utt_slope_b1!J3</f>
        <v>4.0000000000000001E-3</v>
      </c>
      <c r="K14" s="158" t="str">
        <f>[34]utt_slope_b1!K3</f>
        <v>p&lt;0.01</v>
      </c>
      <c r="L14" s="181">
        <f t="shared" si="1"/>
        <v>1.8613842196534498</v>
      </c>
    </row>
    <row r="15" spans="1:12" ht="33.6" customHeight="1" thickBot="1" x14ac:dyDescent="0.3">
      <c r="A15" s="158" t="s">
        <v>14</v>
      </c>
      <c r="B15" s="155" t="s">
        <v>17</v>
      </c>
      <c r="C15" s="155">
        <f>[34]utt_slope_b1!C4</f>
        <v>6.6139999999999999</v>
      </c>
      <c r="D15" s="155">
        <f>[34]utt_slope_b1!D4</f>
        <v>4.0422738277759702</v>
      </c>
      <c r="E15" s="155">
        <f>[34]utt_slope_b1!E4</f>
        <v>9.1858107901548003</v>
      </c>
      <c r="F15" s="155">
        <f>[34]utt_slope_b1!F4</f>
        <v>1.1559999999999999</v>
      </c>
      <c r="G15" s="155">
        <f>[34]utt_slope_b1!G4</f>
        <v>5.7240000000000002</v>
      </c>
      <c r="H15" s="177">
        <f>[34]utt_slope_b1!H4</f>
        <v>10.08</v>
      </c>
      <c r="I15" s="157">
        <f>[34]utt_slope_b1!I4</f>
        <v>1.9000000000000001E-4</v>
      </c>
      <c r="J15" s="177">
        <f>[34]utt_slope_b1!J4</f>
        <v>5.4000000000000001E-4</v>
      </c>
      <c r="K15" s="158" t="str">
        <f>[34]utt_slope_b1!K4</f>
        <v>p&lt;0.001</v>
      </c>
      <c r="L15" s="181">
        <f t="shared" si="1"/>
        <v>2.5717261722240297</v>
      </c>
    </row>
    <row r="16" spans="1:12" ht="33.6" customHeight="1" thickBot="1" x14ac:dyDescent="0.3">
      <c r="A16" s="158" t="s">
        <v>15</v>
      </c>
      <c r="B16" s="155" t="s">
        <v>16</v>
      </c>
      <c r="C16" s="155">
        <f>[34]utt_slope_b1!C5</f>
        <v>5.9749999999999996</v>
      </c>
      <c r="D16" s="155">
        <f>[34]utt_slope_b1!D5</f>
        <v>2.8009805410186699</v>
      </c>
      <c r="E16" s="155">
        <f>[34]utt_slope_b1!E5</f>
        <v>9.1483861911875906</v>
      </c>
      <c r="F16" s="155">
        <f>[34]utt_slope_b1!F5</f>
        <v>1.4239999999999999</v>
      </c>
      <c r="G16" s="155">
        <f>[34]utt_slope_b1!G5</f>
        <v>4.1950000000000003</v>
      </c>
      <c r="H16" s="177">
        <f>[34]utt_slope_b1!H5</f>
        <v>10</v>
      </c>
      <c r="I16" s="157">
        <f>[34]utt_slope_b1!I5</f>
        <v>2E-3</v>
      </c>
      <c r="J16" s="177">
        <f>[34]utt_slope_b1!J5</f>
        <v>4.0000000000000001E-3</v>
      </c>
      <c r="K16" s="158" t="str">
        <f>[34]utt_slope_b1!K5</f>
        <v>p&lt;0.01</v>
      </c>
      <c r="L16" s="181">
        <f t="shared" si="1"/>
        <v>3.1740194589813298</v>
      </c>
    </row>
    <row r="17" spans="1:12" ht="33.6" customHeight="1" thickBot="1" x14ac:dyDescent="0.3">
      <c r="A17" s="158" t="s">
        <v>15</v>
      </c>
      <c r="B17" s="155" t="s">
        <v>17</v>
      </c>
      <c r="C17" s="155">
        <f>[34]utt_slope_b1!C6</f>
        <v>9.0389999999999997</v>
      </c>
      <c r="D17" s="155">
        <f>[34]utt_slope_b1!D6</f>
        <v>5.1135217823264796</v>
      </c>
      <c r="E17" s="155">
        <f>[34]utt_slope_b1!E6</f>
        <v>12.964643526771599</v>
      </c>
      <c r="F17" s="155">
        <f>[34]utt_slope_b1!F6</f>
        <v>1.762</v>
      </c>
      <c r="G17" s="155">
        <f>[34]utt_slope_b1!G6</f>
        <v>5.1289999999999996</v>
      </c>
      <c r="H17" s="177">
        <f>[34]utt_slope_b1!H6</f>
        <v>10.029999999999999</v>
      </c>
      <c r="I17" s="157">
        <f>[34]utt_slope_b1!I6</f>
        <v>4.4000000000000002E-4</v>
      </c>
      <c r="J17" s="177">
        <f>[34]utt_slope_b1!J6</f>
        <v>1E-3</v>
      </c>
      <c r="K17" s="158" t="str">
        <f>[34]utt_slope_b1!K6</f>
        <v>p&lt;0.01</v>
      </c>
      <c r="L17" s="181">
        <f t="shared" si="1"/>
        <v>3.9254782176735201</v>
      </c>
    </row>
    <row r="18" spans="1:12" ht="33.6" customHeight="1" thickBot="1" x14ac:dyDescent="0.3">
      <c r="A18" s="154" t="s">
        <v>16</v>
      </c>
      <c r="B18" s="151" t="s">
        <v>17</v>
      </c>
      <c r="C18" s="151">
        <f>[34]utt_slope_b1!C7</f>
        <v>3.0640000000000001</v>
      </c>
      <c r="D18" s="151">
        <f>[34]utt_slope_b1!D7</f>
        <v>1.2156559704579</v>
      </c>
      <c r="E18" s="151">
        <f>[34]utt_slope_b1!E7</f>
        <v>4.9131421564923397</v>
      </c>
      <c r="F18" s="151">
        <f>[34]utt_slope_b1!F7</f>
        <v>0.82799999999999996</v>
      </c>
      <c r="G18" s="151">
        <f>[34]utt_slope_b1!G7</f>
        <v>3.6989999999999998</v>
      </c>
      <c r="H18" s="176">
        <f>[34]utt_slope_b1!H7</f>
        <v>9.89</v>
      </c>
      <c r="I18" s="153">
        <f>[34]utt_slope_b1!I7</f>
        <v>4.0000000000000001E-3</v>
      </c>
      <c r="J18" s="176">
        <f>[34]utt_slope_b1!J7</f>
        <v>8.0000000000000002E-3</v>
      </c>
      <c r="K18" s="154" t="str">
        <f>[34]utt_slope_b1!K7</f>
        <v>p&lt;0.01</v>
      </c>
      <c r="L18" s="181">
        <f t="shared" si="1"/>
        <v>1.8483440295421001</v>
      </c>
    </row>
    <row r="19" spans="1:12" x14ac:dyDescent="0.25">
      <c r="A19" s="149" t="s">
        <v>89</v>
      </c>
      <c r="B19" s="150">
        <f>_xlfn.STDEV.S(C13:C18)</f>
        <v>3.9480150666716893</v>
      </c>
      <c r="D19" s="175" t="s">
        <v>92</v>
      </c>
      <c r="E19" s="275">
        <f>_xlfn.VAR.S(C13:C18)</f>
        <v>15.586822966666663</v>
      </c>
    </row>
    <row r="20" spans="1:12" x14ac:dyDescent="0.25">
      <c r="A20" s="149" t="s">
        <v>90</v>
      </c>
      <c r="B20" s="274">
        <f>AVERAGE(C13:C18)</f>
        <v>4.3028333333333331</v>
      </c>
    </row>
  </sheetData>
  <conditionalFormatting sqref="J18">
    <cfRule type="containsText" dxfId="27" priority="24" stopIfTrue="1" operator="containsText" text="p&lt;0.001">
      <formula>NOT(ISERROR(SEARCH("p&lt;0.001",J18)))</formula>
    </cfRule>
    <cfRule type="containsText" dxfId="26" priority="25" stopIfTrue="1" operator="containsText" text="p&lt;0.01">
      <formula>NOT(ISERROR(SEARCH("p&lt;0.01",J18)))</formula>
    </cfRule>
    <cfRule type="containsText" dxfId="25" priority="26" stopIfTrue="1" operator="containsText" text="p&lt;0.05">
      <formula>NOT(ISERROR(SEARCH("p&lt;0.05",J18)))</formula>
    </cfRule>
    <cfRule type="containsText" dxfId="24" priority="27" stopIfTrue="1" operator="containsText" text="p&lt;0.1">
      <formula>NOT(ISERROR(SEARCH("p&lt;0.1",J18)))</formula>
    </cfRule>
  </conditionalFormatting>
  <conditionalFormatting sqref="J18">
    <cfRule type="containsText" dxfId="23" priority="16" stopIfTrue="1" operator="containsText" text="p&lt;0.001">
      <formula>NOT(ISERROR(SEARCH("p&lt;0.001",J18)))</formula>
    </cfRule>
    <cfRule type="containsText" dxfId="22" priority="17" stopIfTrue="1" operator="containsText" text="p&lt;0.01">
      <formula>NOT(ISERROR(SEARCH("p&lt;0.01",J18)))</formula>
    </cfRule>
    <cfRule type="containsText" dxfId="21" priority="18" stopIfTrue="1" operator="containsText" text="p&lt;0.05">
      <formula>NOT(ISERROR(SEARCH("p&lt;0.05",J18)))</formula>
    </cfRule>
    <cfRule type="containsText" dxfId="20" priority="19" stopIfTrue="1" operator="containsText" text="p&lt;0.1">
      <formula>NOT(ISERROR(SEARCH("p&lt;0.1",J18)))</formula>
    </cfRule>
  </conditionalFormatting>
  <conditionalFormatting sqref="K13:K18">
    <cfRule type="cellIs" dxfId="19" priority="15" operator="equal">
      <formula>0</formula>
    </cfRule>
  </conditionalFormatting>
  <conditionalFormatting sqref="K3:K8">
    <cfRule type="cellIs" dxfId="18" priority="14" operator="equal">
      <formula>0</formula>
    </cfRule>
  </conditionalFormatting>
  <conditionalFormatting sqref="I3:J8 I13:J18">
    <cfRule type="cellIs" dxfId="7" priority="20" stopIfTrue="1" operator="lessThan">
      <formula>0.0001</formula>
    </cfRule>
    <cfRule type="cellIs" dxfId="6" priority="21" stopIfTrue="1" operator="lessThan">
      <formula>0.001</formula>
    </cfRule>
    <cfRule type="cellIs" dxfId="5" priority="22" stopIfTrue="1" operator="lessThan">
      <formula>0.05</formula>
    </cfRule>
    <cfRule type="cellIs" dxfId="4" priority="23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L20"/>
  <sheetViews>
    <sheetView showGridLines="0" zoomScale="90" zoomScaleNormal="90" workbookViewId="0">
      <selection activeCell="I17" sqref="I17"/>
    </sheetView>
  </sheetViews>
  <sheetFormatPr defaultColWidth="8.85546875" defaultRowHeight="15" x14ac:dyDescent="0.25"/>
  <cols>
    <col min="1" max="1" width="14.140625" style="175" bestFit="1" customWidth="1"/>
    <col min="2" max="2" width="7.140625" style="175" customWidth="1"/>
    <col min="3" max="3" width="12.7109375" style="175" customWidth="1"/>
    <col min="4" max="4" width="11.140625" style="175" customWidth="1"/>
    <col min="5" max="6" width="11.28515625" style="175" customWidth="1"/>
    <col min="7" max="7" width="12.5703125" style="175" customWidth="1"/>
    <col min="8" max="8" width="11.42578125" style="175" customWidth="1"/>
    <col min="9" max="9" width="11.7109375" style="175" customWidth="1"/>
    <col min="10" max="10" width="10.140625" style="175" customWidth="1"/>
    <col min="11" max="11" width="10.28515625" style="175" customWidth="1"/>
    <col min="12" max="16384" width="8.85546875" style="175"/>
  </cols>
  <sheetData>
    <row r="1" spans="1:12" ht="31.5" thickBot="1" x14ac:dyDescent="0.3">
      <c r="A1" s="167" t="s">
        <v>55</v>
      </c>
      <c r="B1" s="174" t="s">
        <v>82</v>
      </c>
    </row>
    <row r="2" spans="1:12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80" t="s">
        <v>64</v>
      </c>
    </row>
    <row r="3" spans="1:12" ht="33.6" customHeight="1" thickTop="1" thickBot="1" x14ac:dyDescent="0.3">
      <c r="A3" s="162" t="s">
        <v>14</v>
      </c>
      <c r="B3" s="159" t="s">
        <v>15</v>
      </c>
      <c r="C3" s="159">
        <f>[35]utt_f0_full_phon_b1!C2</f>
        <v>0.45900000000000002</v>
      </c>
      <c r="D3" s="159">
        <f>[35]utt_f0_full_phon_b1!D2</f>
        <v>-0.22005042684506099</v>
      </c>
      <c r="E3" s="159">
        <f>[35]utt_f0_full_phon_b1!E2</f>
        <v>1.13874213877986</v>
      </c>
      <c r="F3" s="159">
        <f>[35]utt_f0_full_phon_b1!F2</f>
        <v>0.30599999999999999</v>
      </c>
      <c r="G3" s="159">
        <f>[35]utt_f0_full_phon_b1!G2</f>
        <v>1.502</v>
      </c>
      <c r="H3" s="161">
        <f>[35]utt_f0_full_phon_b1!H2</f>
        <v>10.220000000000001</v>
      </c>
      <c r="I3" s="161">
        <f>[35]utt_f0_full_phon_b1!I2</f>
        <v>0.16300000000000001</v>
      </c>
      <c r="J3" s="161">
        <f>[35]utt_f0_full_phon_b1!J2</f>
        <v>0.22700000000000001</v>
      </c>
      <c r="K3" s="162">
        <f>[35]utt_f0_full_phon_b1!K2</f>
        <v>0</v>
      </c>
      <c r="L3" s="181">
        <f>C3-D3</f>
        <v>0.67905042684506101</v>
      </c>
    </row>
    <row r="4" spans="1:12" ht="33.6" customHeight="1" thickBot="1" x14ac:dyDescent="0.3">
      <c r="A4" s="158" t="s">
        <v>14</v>
      </c>
      <c r="B4" s="155" t="s">
        <v>16</v>
      </c>
      <c r="C4" s="155">
        <f>[35]utt_f0_full_phon_b1!C3</f>
        <v>0.59299999999999997</v>
      </c>
      <c r="D4" s="155">
        <f>[35]utt_f0_full_phon_b1!D3</f>
        <v>0.108555971998762</v>
      </c>
      <c r="E4" s="155">
        <f>[35]utt_f0_full_phon_b1!E3</f>
        <v>1.07793168535232</v>
      </c>
      <c r="F4" s="155">
        <f>[35]utt_f0_full_phon_b1!F3</f>
        <v>0.219</v>
      </c>
      <c r="G4" s="155">
        <f>[35]utt_f0_full_phon_b1!G3</f>
        <v>2.7029999999999998</v>
      </c>
      <c r="H4" s="157">
        <f>[35]utt_f0_full_phon_b1!H3</f>
        <v>10.71</v>
      </c>
      <c r="I4" s="157">
        <f>[35]utt_f0_full_phon_b1!I3</f>
        <v>2.1000000000000001E-2</v>
      </c>
      <c r="J4" s="157">
        <f>[35]utt_f0_full_phon_b1!J3</f>
        <v>3.5000000000000003E-2</v>
      </c>
      <c r="K4" s="158" t="str">
        <f>[35]utt_f0_full_phon_b1!K3</f>
        <v>p&lt;0.05</v>
      </c>
      <c r="L4" s="181">
        <f t="shared" ref="L4:L8" si="0">C4-D4</f>
        <v>0.48444402800123798</v>
      </c>
    </row>
    <row r="5" spans="1:12" ht="33.6" customHeight="1" thickBot="1" x14ac:dyDescent="0.3">
      <c r="A5" s="158" t="s">
        <v>14</v>
      </c>
      <c r="B5" s="155" t="s">
        <v>17</v>
      </c>
      <c r="C5" s="155">
        <f>[35]utt_f0_full_phon_b1!C4</f>
        <v>1.8879999999999999</v>
      </c>
      <c r="D5" s="155">
        <f>[35]utt_f0_full_phon_b1!D4</f>
        <v>0.97877213495711402</v>
      </c>
      <c r="E5" s="155">
        <f>[35]utt_f0_full_phon_b1!E4</f>
        <v>2.7975602321976498</v>
      </c>
      <c r="F5" s="155">
        <f>[35]utt_f0_full_phon_b1!F4</f>
        <v>0.41499999999999998</v>
      </c>
      <c r="G5" s="155">
        <f>[35]utt_f0_full_phon_b1!G4</f>
        <v>4.5519999999999996</v>
      </c>
      <c r="H5" s="157">
        <f>[35]utt_f0_full_phon_b1!H4</f>
        <v>11.37</v>
      </c>
      <c r="I5" s="157">
        <f>[35]utt_f0_full_phon_b1!I4</f>
        <v>7.6000000000000004E-4</v>
      </c>
      <c r="J5" s="157">
        <f>[35]utt_f0_full_phon_b1!J4</f>
        <v>2E-3</v>
      </c>
      <c r="K5" s="158" t="str">
        <f>[35]utt_f0_full_phon_b1!K4</f>
        <v>p&lt;0.01</v>
      </c>
      <c r="L5" s="181">
        <f t="shared" si="0"/>
        <v>0.90922786504288589</v>
      </c>
    </row>
    <row r="6" spans="1:12" ht="33.6" customHeight="1" thickBot="1" x14ac:dyDescent="0.3">
      <c r="A6" s="158" t="s">
        <v>15</v>
      </c>
      <c r="B6" s="155" t="s">
        <v>16</v>
      </c>
      <c r="C6" s="155">
        <f>[35]utt_f0_full_phon_b1!C5</f>
        <v>0.13400000000000001</v>
      </c>
      <c r="D6" s="155">
        <f>[35]utt_f0_full_phon_b1!D5</f>
        <v>-0.413107830585073</v>
      </c>
      <c r="E6" s="155">
        <f>[35]utt_f0_full_phon_b1!E5</f>
        <v>0.680940016530581</v>
      </c>
      <c r="F6" s="155">
        <f>[35]utt_f0_full_phon_b1!F5</f>
        <v>0.247</v>
      </c>
      <c r="G6" s="155">
        <f>[35]utt_f0_full_phon_b1!G5</f>
        <v>0.54300000000000004</v>
      </c>
      <c r="H6" s="157">
        <f>[35]utt_f0_full_phon_b1!H5</f>
        <v>10.4</v>
      </c>
      <c r="I6" s="157">
        <f>[35]utt_f0_full_phon_b1!I5</f>
        <v>0.59899999999999998</v>
      </c>
      <c r="J6" s="157">
        <f>[35]utt_f0_full_phon_b1!J5</f>
        <v>0.69299999999999995</v>
      </c>
      <c r="K6" s="158">
        <f>[35]utt_f0_full_phon_b1!K5</f>
        <v>0</v>
      </c>
      <c r="L6" s="181">
        <f t="shared" si="0"/>
        <v>0.54710783058507295</v>
      </c>
    </row>
    <row r="7" spans="1:12" ht="33.6" customHeight="1" thickBot="1" x14ac:dyDescent="0.3">
      <c r="A7" s="158" t="s">
        <v>15</v>
      </c>
      <c r="B7" s="155" t="s">
        <v>17</v>
      </c>
      <c r="C7" s="155">
        <f>[35]utt_f0_full_phon_b1!C6</f>
        <v>1.429</v>
      </c>
      <c r="D7" s="155">
        <f>[35]utt_f0_full_phon_b1!D6</f>
        <v>9.6942606097958794E-2</v>
      </c>
      <c r="E7" s="155">
        <f>[35]utt_f0_full_phon_b1!E6</f>
        <v>2.7607365670051802</v>
      </c>
      <c r="F7" s="155">
        <f>[35]utt_f0_full_phon_b1!F6</f>
        <v>0.60299999999999998</v>
      </c>
      <c r="G7" s="155">
        <f>[35]utt_f0_full_phon_b1!G6</f>
        <v>2.3679999999999999</v>
      </c>
      <c r="H7" s="157">
        <f>[35]utt_f0_full_phon_b1!H6</f>
        <v>10.74</v>
      </c>
      <c r="I7" s="157">
        <f>[35]utt_f0_full_phon_b1!I6</f>
        <v>3.7999999999999999E-2</v>
      </c>
      <c r="J7" s="157">
        <f>[35]utt_f0_full_phon_b1!J6</f>
        <v>5.8999999999999997E-2</v>
      </c>
      <c r="K7" s="158">
        <f>[35]utt_f0_full_phon_b1!K6</f>
        <v>0</v>
      </c>
      <c r="L7" s="181">
        <f t="shared" si="0"/>
        <v>1.3320573939020413</v>
      </c>
    </row>
    <row r="8" spans="1:12" ht="33.6" customHeight="1" thickBot="1" x14ac:dyDescent="0.3">
      <c r="A8" s="154" t="s">
        <v>16</v>
      </c>
      <c r="B8" s="151" t="s">
        <v>17</v>
      </c>
      <c r="C8" s="151">
        <f>[35]utt_f0_full_phon_b1!C7</f>
        <v>1.2949999999999999</v>
      </c>
      <c r="D8" s="151">
        <f>[35]utt_f0_full_phon_b1!D7</f>
        <v>0.10486616429503801</v>
      </c>
      <c r="E8" s="151">
        <f>[35]utt_f0_full_phon_b1!E7</f>
        <v>2.4849804137817202</v>
      </c>
      <c r="F8" s="151">
        <f>[35]utt_f0_full_phon_b1!F7</f>
        <v>0.53600000000000003</v>
      </c>
      <c r="G8" s="151">
        <f>[35]utt_f0_full_phon_b1!G7</f>
        <v>2.4180000000000001</v>
      </c>
      <c r="H8" s="153">
        <f>[35]utt_f0_full_phon_b1!H7</f>
        <v>10.220000000000001</v>
      </c>
      <c r="I8" s="153">
        <f>[35]utt_f0_full_phon_b1!I7</f>
        <v>3.5999999999999997E-2</v>
      </c>
      <c r="J8" s="153">
        <f>[35]utt_f0_full_phon_b1!J7</f>
        <v>5.7000000000000002E-2</v>
      </c>
      <c r="K8" s="154">
        <f>[35]utt_f0_full_phon_b1!K7</f>
        <v>0</v>
      </c>
      <c r="L8" s="181">
        <f t="shared" si="0"/>
        <v>1.190133835704962</v>
      </c>
    </row>
    <row r="9" spans="1:12" x14ac:dyDescent="0.25">
      <c r="A9" s="149" t="s">
        <v>89</v>
      </c>
      <c r="B9" s="150">
        <f>_xlfn.STDEV.S(C3:C8)</f>
        <v>0.67247235383074788</v>
      </c>
      <c r="D9" s="175" t="s">
        <v>92</v>
      </c>
      <c r="E9" s="275">
        <f>_xlfn.VAR.S(C3:C8)</f>
        <v>0.4522190666666665</v>
      </c>
      <c r="G9" s="169" t="s">
        <v>95</v>
      </c>
      <c r="H9" s="276">
        <f>'Utt B1'!B9-'Utt full B1'!B9</f>
        <v>0.10471867802692858</v>
      </c>
      <c r="J9" s="168" t="s">
        <v>94</v>
      </c>
      <c r="K9" s="276">
        <f>'Utt B1'!E9-'Utt full B1'!E9</f>
        <v>0.15180683333333339</v>
      </c>
    </row>
    <row r="10" spans="1:12" x14ac:dyDescent="0.25">
      <c r="A10" s="149" t="s">
        <v>90</v>
      </c>
      <c r="B10" s="274">
        <f>AVERAGE(C3:C8)</f>
        <v>0.96633333333333338</v>
      </c>
    </row>
    <row r="11" spans="1:12" ht="33" customHeight="1" thickBot="1" x14ac:dyDescent="0.3">
      <c r="A11" s="167" t="s">
        <v>54</v>
      </c>
      <c r="B11" s="174" t="s">
        <v>82</v>
      </c>
    </row>
    <row r="12" spans="1:12" ht="25.15" customHeight="1" thickTop="1" thickBot="1" x14ac:dyDescent="0.3">
      <c r="A12" s="163" t="str">
        <f>[36]utt_slope_full_phon_b1!A1</f>
        <v>intercept</v>
      </c>
      <c r="B12" s="163" t="str">
        <f>[36]utt_slope_full_phon_b1!B1</f>
        <v>slope</v>
      </c>
      <c r="C12" s="163" t="str">
        <f>[36]utt_slope_full_phon_b1!C1</f>
        <v>estimate</v>
      </c>
      <c r="D12" s="163" t="str">
        <f>[36]utt_slope_full_phon_b1!D1</f>
        <v>conf.low</v>
      </c>
      <c r="E12" s="163" t="str">
        <f>[36]utt_slope_full_phon_b1!E1</f>
        <v>conf.high</v>
      </c>
      <c r="F12" s="163" t="str">
        <f>[36]utt_slope_full_phon_b1!F1</f>
        <v>std.error</v>
      </c>
      <c r="G12" s="163" t="str">
        <f>[36]utt_slope_full_phon_b1!G1</f>
        <v>t.value</v>
      </c>
      <c r="H12" s="163" t="str">
        <f>[36]utt_slope_full_phon_b1!H1</f>
        <v>df</v>
      </c>
      <c r="I12" s="164" t="str">
        <f>[36]utt_slope_full_phon_b1!I1</f>
        <v>p.value</v>
      </c>
      <c r="J12" s="164" t="str">
        <f>[36]utt_slope_full_phon_b1!J1</f>
        <v>p.adj (BH)</v>
      </c>
      <c r="K12" s="163" t="str">
        <f>[36]utt_slope_full_phon_b1!K1</f>
        <v>signif.</v>
      </c>
      <c r="L12" s="180" t="s">
        <v>64</v>
      </c>
    </row>
    <row r="13" spans="1:12" ht="33.6" customHeight="1" thickTop="1" thickBot="1" x14ac:dyDescent="0.3">
      <c r="A13" s="162" t="s">
        <v>14</v>
      </c>
      <c r="B13" s="159" t="s">
        <v>15</v>
      </c>
      <c r="C13" s="159">
        <f>[36]utt_slope_full_phon_b1!C2</f>
        <v>-2.1459999999999999</v>
      </c>
      <c r="D13" s="159">
        <f>[36]utt_slope_full_phon_b1!D2</f>
        <v>-4.9290303939881603</v>
      </c>
      <c r="E13" s="159">
        <f>[36]utt_slope_full_phon_b1!E2</f>
        <v>0.63656715648571705</v>
      </c>
      <c r="F13" s="159">
        <f>[36]utt_slope_full_phon_b1!F2</f>
        <v>1.2509999999999999</v>
      </c>
      <c r="G13" s="159">
        <f>[36]utt_slope_full_phon_b1!G2</f>
        <v>-1.716</v>
      </c>
      <c r="H13" s="159">
        <f>[36]utt_slope_full_phon_b1!H2</f>
        <v>10.11</v>
      </c>
      <c r="I13" s="161">
        <f>[36]utt_slope_full_phon_b1!I2</f>
        <v>0.11700000000000001</v>
      </c>
      <c r="J13" s="161">
        <f>[36]utt_slope_full_phon_b1!J2</f>
        <v>0.17</v>
      </c>
      <c r="K13" s="162">
        <f>[36]utt_slope_full_phon_b1!K2</f>
        <v>0</v>
      </c>
      <c r="L13" s="181">
        <f t="shared" ref="L13:L18" si="1">C13-D13</f>
        <v>2.7830303939881604</v>
      </c>
    </row>
    <row r="14" spans="1:12" ht="33.6" customHeight="1" thickBot="1" x14ac:dyDescent="0.3">
      <c r="A14" s="158" t="s">
        <v>14</v>
      </c>
      <c r="B14" s="155" t="s">
        <v>16</v>
      </c>
      <c r="C14" s="155">
        <f>[36]utt_slope_full_phon_b1!C3</f>
        <v>2.9529999999999998</v>
      </c>
      <c r="D14" s="155">
        <f>[36]utt_slope_full_phon_b1!D3</f>
        <v>1.3126526962549201</v>
      </c>
      <c r="E14" s="155">
        <f>[36]utt_slope_full_phon_b1!E3</f>
        <v>4.5931569639928203</v>
      </c>
      <c r="F14" s="155">
        <f>[36]utt_slope_full_phon_b1!F3</f>
        <v>0.73699999999999999</v>
      </c>
      <c r="G14" s="155">
        <f>[36]utt_slope_full_phon_b1!G3</f>
        <v>4.0049999999999999</v>
      </c>
      <c r="H14" s="177">
        <f>[36]utt_slope_full_phon_b1!H3</f>
        <v>10.130000000000001</v>
      </c>
      <c r="I14" s="157">
        <f>[36]utt_slope_full_phon_b1!I3</f>
        <v>2E-3</v>
      </c>
      <c r="J14" s="157">
        <f>[36]utt_slope_full_phon_b1!J3</f>
        <v>5.0000000000000001E-3</v>
      </c>
      <c r="K14" s="158" t="str">
        <f>[36]utt_slope_full_phon_b1!K3</f>
        <v>p&lt;0.01</v>
      </c>
      <c r="L14" s="181">
        <f t="shared" si="1"/>
        <v>1.6403473037450798</v>
      </c>
    </row>
    <row r="15" spans="1:12" ht="33.6" customHeight="1" thickBot="1" x14ac:dyDescent="0.3">
      <c r="A15" s="158" t="s">
        <v>14</v>
      </c>
      <c r="B15" s="155" t="s">
        <v>17</v>
      </c>
      <c r="C15" s="155">
        <f>[36]utt_slope_full_phon_b1!C4</f>
        <v>5.1980000000000004</v>
      </c>
      <c r="D15" s="155">
        <f>[36]utt_slope_full_phon_b1!D4</f>
        <v>3.0446183296168501</v>
      </c>
      <c r="E15" s="155">
        <f>[36]utt_slope_full_phon_b1!E4</f>
        <v>7.35198205145001</v>
      </c>
      <c r="F15" s="155">
        <f>[36]utt_slope_full_phon_b1!F4</f>
        <v>0.97499999999999998</v>
      </c>
      <c r="G15" s="155">
        <f>[36]utt_slope_full_phon_b1!G4</f>
        <v>5.3310000000000004</v>
      </c>
      <c r="H15" s="177">
        <f>[36]utt_slope_full_phon_b1!H4</f>
        <v>10.7</v>
      </c>
      <c r="I15" s="157">
        <f>[36]utt_slope_full_phon_b1!I4</f>
        <v>2.5999999999999998E-4</v>
      </c>
      <c r="J15" s="157">
        <f>[36]utt_slope_full_phon_b1!J4</f>
        <v>7.5000000000000002E-4</v>
      </c>
      <c r="K15" s="158" t="str">
        <f>[36]utt_slope_full_phon_b1!K4</f>
        <v>p&lt;0.001</v>
      </c>
      <c r="L15" s="181">
        <f t="shared" si="1"/>
        <v>2.1533816703831503</v>
      </c>
    </row>
    <row r="16" spans="1:12" ht="33.6" customHeight="1" thickBot="1" x14ac:dyDescent="0.3">
      <c r="A16" s="158" t="s">
        <v>15</v>
      </c>
      <c r="B16" s="155" t="s">
        <v>16</v>
      </c>
      <c r="C16" s="155">
        <f>[36]utt_slope_full_phon_b1!C5</f>
        <v>5.0990000000000002</v>
      </c>
      <c r="D16" s="155">
        <f>[36]utt_slope_full_phon_b1!D5</f>
        <v>2.1411321970980501</v>
      </c>
      <c r="E16" s="155">
        <f>[36]utt_slope_full_phon_b1!E5</f>
        <v>8.0571419515684397</v>
      </c>
      <c r="F16" s="155">
        <f>[36]utt_slope_full_phon_b1!F5</f>
        <v>1.3320000000000001</v>
      </c>
      <c r="G16" s="155">
        <f>[36]utt_slope_full_phon_b1!G5</f>
        <v>3.8290000000000002</v>
      </c>
      <c r="H16" s="177">
        <f>[36]utt_slope_full_phon_b1!H5</f>
        <v>10.24</v>
      </c>
      <c r="I16" s="157">
        <f>[36]utt_slope_full_phon_b1!I5</f>
        <v>3.0000000000000001E-3</v>
      </c>
      <c r="J16" s="157">
        <f>[36]utt_slope_full_phon_b1!J5</f>
        <v>6.0000000000000001E-3</v>
      </c>
      <c r="K16" s="158" t="str">
        <f>[36]utt_slope_full_phon_b1!K5</f>
        <v>p&lt;0.01</v>
      </c>
      <c r="L16" s="181">
        <f t="shared" si="1"/>
        <v>2.9578678029019501</v>
      </c>
    </row>
    <row r="17" spans="1:12" ht="33.6" customHeight="1" thickBot="1" x14ac:dyDescent="0.3">
      <c r="A17" s="158" t="s">
        <v>15</v>
      </c>
      <c r="B17" s="155" t="s">
        <v>17</v>
      </c>
      <c r="C17" s="155">
        <f>[36]utt_slope_full_phon_b1!C6</f>
        <v>7.3449999999999998</v>
      </c>
      <c r="D17" s="155">
        <f>[36]utt_slope_full_phon_b1!D6</f>
        <v>3.71812207363834</v>
      </c>
      <c r="E17" s="155">
        <f>[36]utt_slope_full_phon_b1!E6</f>
        <v>10.970935220656701</v>
      </c>
      <c r="F17" s="155">
        <f>[36]utt_slope_full_phon_b1!F6</f>
        <v>1.6359999999999999</v>
      </c>
      <c r="G17" s="155">
        <f>[36]utt_slope_full_phon_b1!G6</f>
        <v>4.4889999999999999</v>
      </c>
      <c r="H17" s="177">
        <f>[36]utt_slope_full_phon_b1!H6</f>
        <v>10.4</v>
      </c>
      <c r="I17" s="157">
        <f>[36]utt_slope_full_phon_b1!I6</f>
        <v>1E-3</v>
      </c>
      <c r="J17" s="157">
        <f>[36]utt_slope_full_phon_b1!J6</f>
        <v>2E-3</v>
      </c>
      <c r="K17" s="158" t="str">
        <f>[36]utt_slope_full_phon_b1!K6</f>
        <v>p&lt;0.01</v>
      </c>
      <c r="L17" s="181">
        <f t="shared" si="1"/>
        <v>3.6268779263616597</v>
      </c>
    </row>
    <row r="18" spans="1:12" ht="33.6" customHeight="1" thickBot="1" x14ac:dyDescent="0.3">
      <c r="A18" s="154" t="s">
        <v>16</v>
      </c>
      <c r="B18" s="151" t="s">
        <v>17</v>
      </c>
      <c r="C18" s="151">
        <f>[36]utt_slope_full_phon_b1!C7</f>
        <v>2.2450000000000001</v>
      </c>
      <c r="D18" s="151">
        <f>[36]utt_slope_full_phon_b1!D7</f>
        <v>0.68851001052336003</v>
      </c>
      <c r="E18" s="151">
        <f>[36]utt_slope_full_phon_b1!E7</f>
        <v>3.8022848016253601</v>
      </c>
      <c r="F18" s="151">
        <f>[36]utt_slope_full_phon_b1!F7</f>
        <v>0.69899999999999995</v>
      </c>
      <c r="G18" s="151">
        <f>[36]utt_slope_full_phon_b1!G7</f>
        <v>3.2130000000000001</v>
      </c>
      <c r="H18" s="176">
        <f>[36]utt_slope_full_phon_b1!H7</f>
        <v>10.02</v>
      </c>
      <c r="I18" s="153">
        <f>[36]utt_slope_full_phon_b1!I7</f>
        <v>8.9999999999999993E-3</v>
      </c>
      <c r="J18" s="153">
        <f>[36]utt_slope_full_phon_b1!J7</f>
        <v>1.6E-2</v>
      </c>
      <c r="K18" s="154" t="str">
        <f>[36]utt_slope_full_phon_b1!K7</f>
        <v>p&lt;0.05</v>
      </c>
      <c r="L18" s="181">
        <f t="shared" si="1"/>
        <v>1.5564899894766402</v>
      </c>
    </row>
    <row r="19" spans="1:12" x14ac:dyDescent="0.25">
      <c r="A19" s="149" t="s">
        <v>89</v>
      </c>
      <c r="B19" s="150">
        <f>_xlfn.STDEV.S(C13:C18)</f>
        <v>3.2851171668602626</v>
      </c>
      <c r="D19" s="175" t="s">
        <v>92</v>
      </c>
      <c r="E19" s="275">
        <f>_xlfn.VAR.S(C13:C18)</f>
        <v>10.791994799999998</v>
      </c>
      <c r="G19" s="169" t="s">
        <v>95</v>
      </c>
      <c r="H19" s="276">
        <f>'Utt B1'!B19-'Utt full B1'!B19</f>
        <v>0.66289789981142677</v>
      </c>
      <c r="J19" s="168" t="s">
        <v>94</v>
      </c>
      <c r="K19" s="276">
        <f>'Utt B1'!E19-'Utt full B1'!E19</f>
        <v>4.7948281666666652</v>
      </c>
    </row>
    <row r="20" spans="1:12" x14ac:dyDescent="0.25">
      <c r="A20" s="149" t="s">
        <v>90</v>
      </c>
      <c r="B20" s="274">
        <f>AVERAGE(C13:C18)</f>
        <v>3.4490000000000003</v>
      </c>
      <c r="G20" s="175" t="s">
        <v>96</v>
      </c>
      <c r="H20" s="276">
        <f>'Utt B1'!B20-'Utt full B1'!B20</f>
        <v>0.85383333333333278</v>
      </c>
    </row>
  </sheetData>
  <conditionalFormatting sqref="J18">
    <cfRule type="containsText" dxfId="17" priority="11" stopIfTrue="1" operator="containsText" text="p&lt;0.001">
      <formula>NOT(ISERROR(SEARCH("p&lt;0.001",J18)))</formula>
    </cfRule>
    <cfRule type="containsText" dxfId="16" priority="12" stopIfTrue="1" operator="containsText" text="p&lt;0.01">
      <formula>NOT(ISERROR(SEARCH("p&lt;0.01",J18)))</formula>
    </cfRule>
    <cfRule type="containsText" dxfId="15" priority="13" stopIfTrue="1" operator="containsText" text="p&lt;0.05">
      <formula>NOT(ISERROR(SEARCH("p&lt;0.05",J18)))</formula>
    </cfRule>
    <cfRule type="containsText" dxfId="14" priority="14" stopIfTrue="1" operator="containsText" text="p&lt;0.1">
      <formula>NOT(ISERROR(SEARCH("p&lt;0.1",J18)))</formula>
    </cfRule>
  </conditionalFormatting>
  <conditionalFormatting sqref="J18">
    <cfRule type="containsText" dxfId="13" priority="3" stopIfTrue="1" operator="containsText" text="p&lt;0.001">
      <formula>NOT(ISERROR(SEARCH("p&lt;0.001",J18)))</formula>
    </cfRule>
    <cfRule type="containsText" dxfId="12" priority="4" stopIfTrue="1" operator="containsText" text="p&lt;0.01">
      <formula>NOT(ISERROR(SEARCH("p&lt;0.01",J18)))</formula>
    </cfRule>
    <cfRule type="containsText" dxfId="11" priority="5" stopIfTrue="1" operator="containsText" text="p&lt;0.05">
      <formula>NOT(ISERROR(SEARCH("p&lt;0.05",J18)))</formula>
    </cfRule>
    <cfRule type="containsText" dxfId="10" priority="6" stopIfTrue="1" operator="containsText" text="p&lt;0.1">
      <formula>NOT(ISERROR(SEARCH("p&lt;0.1",J18)))</formula>
    </cfRule>
  </conditionalFormatting>
  <conditionalFormatting sqref="K13:K18">
    <cfRule type="cellIs" dxfId="9" priority="2" operator="equal">
      <formula>0</formula>
    </cfRule>
  </conditionalFormatting>
  <conditionalFormatting sqref="K3:K8">
    <cfRule type="cellIs" dxfId="8" priority="1" operator="equal">
      <formula>0</formula>
    </cfRule>
  </conditionalFormatting>
  <conditionalFormatting sqref="I13:J18 I3:J8">
    <cfRule type="cellIs" dxfId="3" priority="7" stopIfTrue="1" operator="lessThan">
      <formula>0.0001</formula>
    </cfRule>
    <cfRule type="cellIs" dxfId="2" priority="8" stopIfTrue="1" operator="lessThan">
      <formula>0.001</formula>
    </cfRule>
    <cfRule type="cellIs" dxfId="1" priority="9" stopIfTrue="1" operator="lessThan">
      <formula>0.05</formula>
    </cfRule>
    <cfRule type="cellIs" dxfId="0" priority="10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8F58-36BF-42E0-87ED-9A5C355BD17D}">
  <dimension ref="A1"/>
  <sheetViews>
    <sheetView tabSelected="1" zoomScale="70" zoomScaleNormal="70" workbookViewId="0">
      <selection activeCell="E48" sqref="E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5" x14ac:dyDescent="0.25"/>
  <sheetData>
    <row r="17" spans="11:12" x14ac:dyDescent="0.25">
      <c r="K17">
        <v>0.85098039199999997</v>
      </c>
      <c r="L17" t="str">
        <f>DEC2HEX((ROUND(K17*255,0)))</f>
        <v>D9</v>
      </c>
    </row>
    <row r="18" spans="11:12" x14ac:dyDescent="0.25">
      <c r="K18">
        <v>0.37254902000000001</v>
      </c>
      <c r="L18" t="str">
        <f>DEC2HEX((ROUND(K18*255,0)))</f>
        <v>5F</v>
      </c>
    </row>
    <row r="19" spans="11:12" x14ac:dyDescent="0.25">
      <c r="K19">
        <v>7.843137E-3</v>
      </c>
      <c r="L19" t="str">
        <f>DEC2HEX((ROUND(K19*255,0)))</f>
        <v>2</v>
      </c>
    </row>
    <row r="23" spans="11:12" x14ac:dyDescent="0.25">
      <c r="K23">
        <v>1</v>
      </c>
      <c r="L23" t="str">
        <f>DEC2HEX((ROUND(K23*255,0)))</f>
        <v>FF</v>
      </c>
    </row>
    <row r="24" spans="11:12" x14ac:dyDescent="0.25">
      <c r="K24">
        <v>0.62254902000000001</v>
      </c>
      <c r="L24" t="str">
        <f>DEC2HEX((ROUND(K24*255,0)))</f>
        <v>9F</v>
      </c>
    </row>
    <row r="25" spans="11:12" x14ac:dyDescent="0.25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zoomScale="111" zoomScaleNormal="111" zoomScaleSheetLayoutView="55" workbookViewId="0">
      <selection activeCell="J27" sqref="J27"/>
    </sheetView>
  </sheetViews>
  <sheetFormatPr defaultColWidth="13.85546875" defaultRowHeight="12.75" x14ac:dyDescent="0.2"/>
  <cols>
    <col min="1" max="1" width="17.140625" style="92" customWidth="1"/>
    <col min="2" max="8" width="11.85546875" style="89" customWidth="1"/>
    <col min="9" max="10" width="11.85546875" style="91" customWidth="1"/>
    <col min="11" max="11" width="11.42578125" style="182" customWidth="1"/>
    <col min="12" max="12" width="11.42578125" style="89" customWidth="1"/>
    <col min="13" max="14" width="8.7109375" style="89" customWidth="1"/>
    <col min="15" max="15" width="11.42578125" style="90" customWidth="1"/>
    <col min="16" max="16" width="9.7109375" style="90" customWidth="1"/>
    <col min="17" max="17" width="11.42578125" style="90" customWidth="1"/>
    <col min="18" max="19" width="7.7109375" style="89" customWidth="1"/>
    <col min="20" max="21" width="11.42578125" style="89" customWidth="1"/>
    <col min="22" max="23" width="8.7109375" style="89" customWidth="1"/>
    <col min="24" max="24" width="11.42578125" style="90" customWidth="1"/>
    <col min="25" max="25" width="9.7109375" style="90" customWidth="1"/>
    <col min="26" max="26" width="11.42578125" style="90" customWidth="1"/>
    <col min="27" max="28" width="7.7109375" style="89" customWidth="1"/>
    <col min="29" max="30" width="11.42578125" style="89" customWidth="1"/>
    <col min="31" max="32" width="8.7109375" style="89" customWidth="1"/>
    <col min="33" max="33" width="11.42578125" style="90" customWidth="1"/>
    <col min="34" max="34" width="9.7109375" style="90" customWidth="1"/>
    <col min="35" max="35" width="11.42578125" style="90" customWidth="1"/>
    <col min="36" max="37" width="7.7109375" style="89" customWidth="1"/>
    <col min="38" max="39" width="11.42578125" style="89" customWidth="1"/>
    <col min="40" max="41" width="8.7109375" style="89" customWidth="1"/>
    <col min="42" max="42" width="11.42578125" style="90" customWidth="1"/>
    <col min="43" max="43" width="9.7109375" style="90" customWidth="1"/>
    <col min="44" max="44" width="11.42578125" style="90" customWidth="1"/>
    <col min="45" max="46" width="7.7109375" style="89" customWidth="1"/>
    <col min="47" max="48" width="11.42578125" style="89" customWidth="1"/>
    <col min="49" max="50" width="8.7109375" style="89" customWidth="1"/>
    <col min="51" max="51" width="11.42578125" style="90" customWidth="1"/>
    <col min="52" max="52" width="9.7109375" style="90" customWidth="1"/>
    <col min="53" max="53" width="11.42578125" style="90" customWidth="1"/>
    <col min="54" max="55" width="11.42578125" style="89" customWidth="1"/>
    <col min="56" max="16384" width="13.85546875" style="89"/>
  </cols>
  <sheetData>
    <row r="1" spans="1:53" s="265" customFormat="1" ht="24" customHeight="1" thickBot="1" x14ac:dyDescent="0.35">
      <c r="A1" s="277" t="s">
        <v>78</v>
      </c>
      <c r="B1" s="277"/>
      <c r="C1" s="277"/>
      <c r="D1" s="277"/>
      <c r="E1" s="277"/>
      <c r="F1" s="277"/>
      <c r="G1" s="277"/>
      <c r="H1" s="277"/>
      <c r="I1" s="277"/>
      <c r="J1" s="277"/>
      <c r="O1" s="266"/>
      <c r="P1" s="266"/>
      <c r="Q1" s="266"/>
      <c r="X1" s="266"/>
      <c r="Y1" s="266"/>
      <c r="Z1" s="266"/>
      <c r="AG1" s="266"/>
      <c r="AH1" s="266"/>
      <c r="AI1" s="266"/>
      <c r="AP1" s="266"/>
      <c r="AQ1" s="266"/>
      <c r="AR1" s="266"/>
      <c r="AY1" s="266"/>
      <c r="AZ1" s="266"/>
      <c r="BA1" s="266"/>
    </row>
    <row r="2" spans="1:53" s="113" customFormat="1" ht="15.75" customHeight="1" thickTop="1" thickBot="1" x14ac:dyDescent="0.25">
      <c r="A2" s="108" t="s">
        <v>34</v>
      </c>
      <c r="B2" s="107" t="s">
        <v>44</v>
      </c>
      <c r="C2" s="107" t="s">
        <v>7</v>
      </c>
      <c r="D2" s="107" t="s">
        <v>8</v>
      </c>
      <c r="E2" s="107" t="s">
        <v>2</v>
      </c>
      <c r="F2" s="107" t="s">
        <v>6</v>
      </c>
      <c r="G2" s="107" t="s">
        <v>9</v>
      </c>
      <c r="H2" s="107" t="s">
        <v>18</v>
      </c>
      <c r="I2" s="109" t="s">
        <v>32</v>
      </c>
      <c r="J2" s="109" t="s">
        <v>21</v>
      </c>
      <c r="K2" s="180" t="s">
        <v>64</v>
      </c>
    </row>
    <row r="3" spans="1:53" s="112" customFormat="1" ht="15.75" customHeight="1" thickTop="1" thickBot="1" x14ac:dyDescent="0.25">
      <c r="A3" s="102" t="s">
        <v>28</v>
      </c>
      <c r="B3" s="105">
        <f>[9]Mode_l_f0_b1!C2</f>
        <v>0.124</v>
      </c>
      <c r="C3" s="105">
        <f>[9]Mode_l_f0_b1!D2</f>
        <v>-0.18642056809001101</v>
      </c>
      <c r="D3" s="105">
        <f>[9]Mode_l_f0_b1!E2</f>
        <v>0.43513996167241198</v>
      </c>
      <c r="E3" s="100">
        <f>[9]Mode_l_f0_b1!F2</f>
        <v>0.158</v>
      </c>
      <c r="F3" s="100">
        <f>[9]Mode_l_f0_b1!G2</f>
        <v>0.78600000000000003</v>
      </c>
      <c r="G3" s="100">
        <f>[9]Mode_l_f0_b1!H2</f>
        <v>610.99</v>
      </c>
      <c r="H3" s="110">
        <f>[9]Mode_l_f0_b1!I2</f>
        <v>0.432</v>
      </c>
      <c r="I3" s="211">
        <f>[9]Mode_l_f0_b1!J2</f>
        <v>0.53</v>
      </c>
      <c r="J3" s="97">
        <f>[9]Mode_l_f0_b1!K2</f>
        <v>0</v>
      </c>
      <c r="K3" s="181">
        <f>B3-C3</f>
        <v>0.31042056809001101</v>
      </c>
    </row>
    <row r="4" spans="1:53" s="112" customFormat="1" ht="15.75" customHeight="1" thickBot="1" x14ac:dyDescent="0.25">
      <c r="A4" s="102" t="s">
        <v>29</v>
      </c>
      <c r="B4" s="104">
        <f>[10]Mode_h_f0_b1!C2</f>
        <v>0.40600000000000003</v>
      </c>
      <c r="C4" s="104">
        <f>[10]Mode_h_f0_b1!D2</f>
        <v>-2.8919059791888E-2</v>
      </c>
      <c r="D4" s="104">
        <f>[10]Mode_h_f0_b1!E2</f>
        <v>0.84155505854439805</v>
      </c>
      <c r="E4" s="103">
        <f>[10]Mode_h_f0_b1!F2</f>
        <v>0.222</v>
      </c>
      <c r="F4" s="103">
        <f>[10]Mode_h_f0_b1!G2</f>
        <v>1.833</v>
      </c>
      <c r="G4" s="103">
        <f>[10]Mode_h_f0_b1!H2</f>
        <v>615.98</v>
      </c>
      <c r="H4" s="99">
        <f>[10]Mode_h_f0_b1!I2</f>
        <v>6.7000000000000004E-2</v>
      </c>
      <c r="I4" s="110">
        <f>[10]Mode_h_f0_b1!J2</f>
        <v>0.10199999999999999</v>
      </c>
      <c r="J4" s="97">
        <f>[10]Mode_h_f0_b1!K2</f>
        <v>0</v>
      </c>
      <c r="K4" s="181">
        <f>B4-C4</f>
        <v>0.43491905979188805</v>
      </c>
    </row>
    <row r="5" spans="1:53" s="111" customFormat="1" ht="15.75" customHeight="1" thickBot="1" x14ac:dyDescent="0.25">
      <c r="A5" s="102" t="s">
        <v>30</v>
      </c>
      <c r="B5" s="101">
        <f>[11]Mode_l_t_b1!C2</f>
        <v>0.40400000000000003</v>
      </c>
      <c r="C5" s="101">
        <f>[11]Mode_l_t_b1!D2</f>
        <v>-3.53378949890865</v>
      </c>
      <c r="D5" s="101">
        <f>[11]Mode_l_t_b1!E2</f>
        <v>4.3412529801935902</v>
      </c>
      <c r="E5" s="105">
        <f>[11]Mode_l_t_b1!F2</f>
        <v>2.0049999999999999</v>
      </c>
      <c r="F5" s="100">
        <f>[11]Mode_l_t_b1!G2</f>
        <v>0.20100000000000001</v>
      </c>
      <c r="G5" s="100">
        <f>[11]Mode_l_t_b1!H2</f>
        <v>610.88</v>
      </c>
      <c r="H5" s="211">
        <f>[11]Mode_l_t_b1!I2</f>
        <v>0.84</v>
      </c>
      <c r="I5" s="110">
        <f>[11]Mode_l_t_b1!J2</f>
        <v>0.92800000000000005</v>
      </c>
      <c r="J5" s="97">
        <f>[11]Mode_l_t_b1!K2</f>
        <v>0</v>
      </c>
      <c r="K5" s="181">
        <f>B5-C5</f>
        <v>3.9377894989086499</v>
      </c>
    </row>
    <row r="6" spans="1:53" s="111" customFormat="1" ht="15.75" customHeight="1" thickBot="1" x14ac:dyDescent="0.25">
      <c r="A6" s="102" t="s">
        <v>31</v>
      </c>
      <c r="B6" s="101">
        <f>[12]Mode_h_t_b1!C2</f>
        <v>-0.373</v>
      </c>
      <c r="C6" s="101">
        <f>[12]Mode_h_t_b1!D2</f>
        <v>-6.1763930344414302</v>
      </c>
      <c r="D6" s="101">
        <f>[12]Mode_h_t_b1!E2</f>
        <v>5.4313420393882499</v>
      </c>
      <c r="E6" s="100">
        <f>[12]Mode_h_t_b1!F2</f>
        <v>2.9550000000000001</v>
      </c>
      <c r="F6" s="100">
        <f>[12]Mode_h_t_b1!G2</f>
        <v>-0.126</v>
      </c>
      <c r="G6" s="100">
        <f>[12]Mode_h_t_b1!H2</f>
        <v>613.04</v>
      </c>
      <c r="H6" s="211">
        <f>[12]Mode_h_t_b1!I2</f>
        <v>0.9</v>
      </c>
      <c r="I6" s="98">
        <f>[12]Mode_h_t_b1!J2</f>
        <v>0.93799999999999994</v>
      </c>
      <c r="J6" s="97">
        <f>[12]Mode_h_t_b1!K2</f>
        <v>0</v>
      </c>
      <c r="K6" s="181">
        <f>B6-C6</f>
        <v>5.80339303444143</v>
      </c>
    </row>
    <row r="7" spans="1:53" ht="15.75" customHeight="1" thickTop="1" thickBot="1" x14ac:dyDescent="0.25">
      <c r="A7" s="108" t="s">
        <v>35</v>
      </c>
      <c r="B7" s="107" t="str">
        <f t="shared" ref="B7:J7" si="0">B2</f>
        <v>β1</v>
      </c>
      <c r="C7" s="107" t="str">
        <f t="shared" si="0"/>
        <v>2.5% CI</v>
      </c>
      <c r="D7" s="107" t="str">
        <f t="shared" si="0"/>
        <v>97.5% CI</v>
      </c>
      <c r="E7" s="107" t="str">
        <f t="shared" si="0"/>
        <v xml:space="preserve">SE </v>
      </c>
      <c r="F7" s="107" t="str">
        <f t="shared" si="0"/>
        <v>t</v>
      </c>
      <c r="G7" s="107" t="str">
        <f t="shared" si="0"/>
        <v>df</v>
      </c>
      <c r="H7" s="106" t="str">
        <f t="shared" si="0"/>
        <v>p. val.</v>
      </c>
      <c r="I7" s="106" t="str">
        <f t="shared" si="0"/>
        <v>p.adj</v>
      </c>
      <c r="J7" s="109" t="str">
        <f t="shared" si="0"/>
        <v>sig.</v>
      </c>
      <c r="K7" s="180" t="s">
        <v>64</v>
      </c>
    </row>
    <row r="8" spans="1:53" ht="15.75" customHeight="1" thickTop="1" thickBot="1" x14ac:dyDescent="0.25">
      <c r="A8" s="102" t="s">
        <v>28</v>
      </c>
      <c r="B8" s="105">
        <f>[9]Mode_l_f0_b1!C3</f>
        <v>1.621</v>
      </c>
      <c r="C8" s="105">
        <f>[9]Mode_l_f0_b1!D3</f>
        <v>1.3093786725876499</v>
      </c>
      <c r="D8" s="105">
        <f>[9]Mode_l_f0_b1!E3</f>
        <v>1.93347007743885</v>
      </c>
      <c r="E8" s="100">
        <f>[9]Mode_l_f0_b1!F3</f>
        <v>0.159</v>
      </c>
      <c r="F8" s="100">
        <f>[9]Mode_l_f0_b1!G3</f>
        <v>10.204000000000001</v>
      </c>
      <c r="G8" s="100">
        <f>[9]Mode_l_f0_b1!H3</f>
        <v>611.13</v>
      </c>
      <c r="H8" s="99">
        <f>[9]Mode_l_f0_b1!I3</f>
        <v>1.1E-22</v>
      </c>
      <c r="I8" s="98">
        <f>[9]Mode_l_f0_b1!J3</f>
        <v>1.3000000000000001E-21</v>
      </c>
      <c r="J8" s="97" t="str">
        <f>[9]Mode_l_f0_b1!K3</f>
        <v>p&lt;0.0001</v>
      </c>
      <c r="K8" s="181">
        <f>B8-C8</f>
        <v>0.31162132741235005</v>
      </c>
    </row>
    <row r="9" spans="1:53" ht="15.75" customHeight="1" thickBot="1" x14ac:dyDescent="0.25">
      <c r="A9" s="102" t="s">
        <v>29</v>
      </c>
      <c r="B9" s="104">
        <f>[10]Mode_h_f0_b1!C3</f>
        <v>1.7190000000000001</v>
      </c>
      <c r="C9" s="104">
        <f>[10]Mode_h_f0_b1!D3</f>
        <v>1.2820173565612201</v>
      </c>
      <c r="D9" s="104">
        <f>[10]Mode_h_f0_b1!E3</f>
        <v>2.1559517370543801</v>
      </c>
      <c r="E9" s="103">
        <f>[10]Mode_h_f0_b1!F3</f>
        <v>0.223</v>
      </c>
      <c r="F9" s="103">
        <f>[10]Mode_h_f0_b1!G3</f>
        <v>7.7249999999999996</v>
      </c>
      <c r="G9" s="103">
        <f>[10]Mode_h_f0_b1!H3</f>
        <v>616.12</v>
      </c>
      <c r="H9" s="99">
        <f>[10]Mode_h_f0_b1!I3</f>
        <v>4.4999999999999998E-14</v>
      </c>
      <c r="I9" s="98">
        <f>[10]Mode_h_f0_b1!J3</f>
        <v>2.7000000000000001E-13</v>
      </c>
      <c r="J9" s="97" t="str">
        <f>[10]Mode_h_f0_b1!K3</f>
        <v>p&lt;0.0001</v>
      </c>
      <c r="K9" s="181">
        <f>B9-C9</f>
        <v>0.43698264343878002</v>
      </c>
    </row>
    <row r="10" spans="1:53" ht="15.75" customHeight="1" thickBot="1" x14ac:dyDescent="0.25">
      <c r="A10" s="102" t="s">
        <v>30</v>
      </c>
      <c r="B10" s="101">
        <f>[11]Mode_l_t_b1!C3</f>
        <v>-2.2949999999999999</v>
      </c>
      <c r="C10" s="101">
        <f>[11]Mode_l_t_b1!D3</f>
        <v>-6.2598052359264003</v>
      </c>
      <c r="D10" s="101">
        <f>[11]Mode_l_t_b1!E3</f>
        <v>1.66925440242729</v>
      </c>
      <c r="E10" s="100">
        <f>[11]Mode_l_t_b1!F3</f>
        <v>2.0190000000000001</v>
      </c>
      <c r="F10" s="100">
        <f>[11]Mode_l_t_b1!G3</f>
        <v>-1.137</v>
      </c>
      <c r="G10" s="100">
        <f>[11]Mode_l_t_b1!H3</f>
        <v>611.71</v>
      </c>
      <c r="H10" s="110">
        <f>[11]Mode_l_t_b1!I3</f>
        <v>0.25600000000000001</v>
      </c>
      <c r="I10" s="110">
        <f>[11]Mode_l_t_b1!J3</f>
        <v>0.34</v>
      </c>
      <c r="J10" s="97">
        <f>[11]Mode_l_t_b1!K3</f>
        <v>0</v>
      </c>
      <c r="K10" s="181">
        <f>B10-C10</f>
        <v>3.9648052359264003</v>
      </c>
    </row>
    <row r="11" spans="1:53" ht="15.75" customHeight="1" thickBot="1" x14ac:dyDescent="0.25">
      <c r="A11" s="96" t="s">
        <v>31</v>
      </c>
      <c r="B11" s="95">
        <f>[12]Mode_h_t_b1!C3</f>
        <v>-2.4780000000000002</v>
      </c>
      <c r="C11" s="95">
        <f>[12]Mode_h_t_b1!D3</f>
        <v>-8.3141427567449906</v>
      </c>
      <c r="D11" s="95">
        <f>[12]Mode_h_t_b1!E3</f>
        <v>3.35911257504572</v>
      </c>
      <c r="E11" s="94">
        <f>[12]Mode_h_t_b1!F3</f>
        <v>2.972</v>
      </c>
      <c r="F11" s="94">
        <f>[12]Mode_h_t_b1!G3</f>
        <v>-0.83399999999999996</v>
      </c>
      <c r="G11" s="94">
        <f>[12]Mode_h_t_b1!H3</f>
        <v>613.15</v>
      </c>
      <c r="H11" s="272">
        <f>[12]Mode_h_t_b1!I3</f>
        <v>0.40500000000000003</v>
      </c>
      <c r="I11" s="272">
        <f>[12]Mode_h_t_b1!J3</f>
        <v>0.51</v>
      </c>
      <c r="J11" s="93">
        <f>[12]Mode_h_t_b1!K3</f>
        <v>0</v>
      </c>
      <c r="K11" s="181">
        <f>B11-C11</f>
        <v>5.8361427567449908</v>
      </c>
    </row>
    <row r="12" spans="1:53" ht="15.75" customHeight="1" thickTop="1" thickBot="1" x14ac:dyDescent="0.25">
      <c r="A12" s="108" t="s">
        <v>36</v>
      </c>
      <c r="B12" s="107" t="str">
        <f t="shared" ref="B12:J12" si="1">B2</f>
        <v>β1</v>
      </c>
      <c r="C12" s="107" t="str">
        <f t="shared" si="1"/>
        <v>2.5% CI</v>
      </c>
      <c r="D12" s="107" t="str">
        <f t="shared" si="1"/>
        <v>97.5% CI</v>
      </c>
      <c r="E12" s="107" t="str">
        <f t="shared" si="1"/>
        <v xml:space="preserve">SE </v>
      </c>
      <c r="F12" s="107" t="str">
        <f t="shared" si="1"/>
        <v>t</v>
      </c>
      <c r="G12" s="107" t="str">
        <f t="shared" si="1"/>
        <v>df</v>
      </c>
      <c r="H12" s="106" t="str">
        <f t="shared" si="1"/>
        <v>p. val.</v>
      </c>
      <c r="I12" s="106" t="str">
        <f t="shared" si="1"/>
        <v>p.adj</v>
      </c>
      <c r="J12" s="109" t="str">
        <f t="shared" si="1"/>
        <v>sig.</v>
      </c>
      <c r="K12" s="180" t="s">
        <v>64</v>
      </c>
    </row>
    <row r="13" spans="1:53" ht="15.75" customHeight="1" thickTop="1" thickBot="1" x14ac:dyDescent="0.25">
      <c r="A13" s="102" t="s">
        <v>28</v>
      </c>
      <c r="B13" s="105">
        <f>[9]Mode_l_f0_b1!C4</f>
        <v>2.4830000000000001</v>
      </c>
      <c r="C13" s="105">
        <f>[9]Mode_l_f0_b1!D4</f>
        <v>2.1459478628906798</v>
      </c>
      <c r="D13" s="105">
        <f>[9]Mode_l_f0_b1!E4</f>
        <v>2.8194909812434901</v>
      </c>
      <c r="E13" s="100">
        <f>[9]Mode_l_f0_b1!F4</f>
        <v>0.17100000000000001</v>
      </c>
      <c r="F13" s="100">
        <f>[9]Mode_l_f0_b1!G4</f>
        <v>14.478</v>
      </c>
      <c r="G13" s="100">
        <f>[9]Mode_l_f0_b1!H4</f>
        <v>612.80999999999995</v>
      </c>
      <c r="H13" s="99">
        <f>[9]Mode_l_f0_b1!I4</f>
        <v>4.5000000000000001E-41</v>
      </c>
      <c r="I13" s="98">
        <f>[9]Mode_l_f0_b1!J4</f>
        <v>1.5000000000000001E-39</v>
      </c>
      <c r="J13" s="97" t="str">
        <f>[9]Mode_l_f0_b1!K4</f>
        <v>p&lt;0.0001</v>
      </c>
      <c r="K13" s="181">
        <f>B13-C13</f>
        <v>0.33705213710932025</v>
      </c>
    </row>
    <row r="14" spans="1:53" ht="15.75" customHeight="1" thickBot="1" x14ac:dyDescent="0.25">
      <c r="A14" s="102" t="s">
        <v>29</v>
      </c>
      <c r="B14" s="104">
        <f>[10]Mode_h_f0_b1!C4</f>
        <v>4.5129999999999999</v>
      </c>
      <c r="C14" s="104">
        <f>[10]Mode_h_f0_b1!D4</f>
        <v>4.0445700089698402</v>
      </c>
      <c r="D14" s="104">
        <f>[10]Mode_h_f0_b1!E4</f>
        <v>4.9805125669845403</v>
      </c>
      <c r="E14" s="103">
        <f>[10]Mode_h_f0_b1!F4</f>
        <v>0.23799999999999999</v>
      </c>
      <c r="F14" s="103">
        <f>[10]Mode_h_f0_b1!G4</f>
        <v>18.937000000000001</v>
      </c>
      <c r="G14" s="103">
        <f>[10]Mode_h_f0_b1!H4</f>
        <v>617.96</v>
      </c>
      <c r="H14" s="99">
        <f>[10]Mode_h_f0_b1!I4</f>
        <v>2.0999999999999999E-63</v>
      </c>
      <c r="I14" s="98">
        <f>[10]Mode_h_f0_b1!J4</f>
        <v>2.0000000000000001E-61</v>
      </c>
      <c r="J14" s="97" t="str">
        <f>[10]Mode_h_f0_b1!K4</f>
        <v>p&lt;0.0001</v>
      </c>
      <c r="K14" s="181">
        <f>B14-C14</f>
        <v>0.4684299910301597</v>
      </c>
    </row>
    <row r="15" spans="1:53" ht="15.75" customHeight="1" thickBot="1" x14ac:dyDescent="0.25">
      <c r="A15" s="102" t="s">
        <v>30</v>
      </c>
      <c r="B15" s="101">
        <f>[11]Mode_l_t_b1!C4</f>
        <v>-21.047999999999998</v>
      </c>
      <c r="C15" s="101">
        <f>[11]Mode_l_t_b1!D4</f>
        <v>-25.261320323500598</v>
      </c>
      <c r="D15" s="101">
        <f>[11]Mode_l_t_b1!E4</f>
        <v>-16.835440861919501</v>
      </c>
      <c r="E15" s="100">
        <f>[11]Mode_l_t_b1!F4</f>
        <v>2.145</v>
      </c>
      <c r="F15" s="100">
        <f>[11]Mode_l_t_b1!G4</f>
        <v>-9.8119999999999994</v>
      </c>
      <c r="G15" s="100">
        <f>[11]Mode_l_t_b1!H4</f>
        <v>597.23</v>
      </c>
      <c r="H15" s="99">
        <f>[11]Mode_l_t_b1!I4</f>
        <v>3.5999999999999999E-21</v>
      </c>
      <c r="I15" s="98">
        <f>[11]Mode_l_t_b1!J4</f>
        <v>3.5E-20</v>
      </c>
      <c r="J15" s="97" t="str">
        <f>[11]Mode_l_t_b1!K4</f>
        <v>p&lt;0.0001</v>
      </c>
      <c r="K15" s="181">
        <f>B15-C15</f>
        <v>4.2133203235006</v>
      </c>
    </row>
    <row r="16" spans="1:53" ht="15.75" customHeight="1" thickBot="1" x14ac:dyDescent="0.25">
      <c r="A16" s="102" t="s">
        <v>31</v>
      </c>
      <c r="B16" s="101">
        <f>[12]Mode_h_t_b1!C4</f>
        <v>-16.834</v>
      </c>
      <c r="C16" s="101">
        <f>[12]Mode_h_t_b1!D4</f>
        <v>-23.078068753224699</v>
      </c>
      <c r="D16" s="101">
        <f>[12]Mode_h_t_b1!E4</f>
        <v>-10.5904726214682</v>
      </c>
      <c r="E16" s="100">
        <f>[12]Mode_h_t_b1!F4</f>
        <v>3.1789999999999998</v>
      </c>
      <c r="F16" s="100">
        <f>[12]Mode_h_t_b1!G4</f>
        <v>-5.2949999999999999</v>
      </c>
      <c r="G16" s="100">
        <f>[12]Mode_h_t_b1!H4</f>
        <v>614.88</v>
      </c>
      <c r="H16" s="99">
        <f>[12]Mode_h_t_b1!I4</f>
        <v>1.6999999999999999E-7</v>
      </c>
      <c r="I16" s="98">
        <f>[12]Mode_h_t_b1!J4</f>
        <v>6.8999999999999996E-7</v>
      </c>
      <c r="J16" s="97" t="str">
        <f>[12]Mode_h_t_b1!K4</f>
        <v>p&lt;0.0001</v>
      </c>
      <c r="K16" s="181">
        <f>B16-C16</f>
        <v>6.244068753224699</v>
      </c>
    </row>
    <row r="17" spans="1:11" ht="15.75" customHeight="1" thickTop="1" thickBot="1" x14ac:dyDescent="0.25">
      <c r="A17" s="108" t="s">
        <v>37</v>
      </c>
      <c r="B17" s="107" t="str">
        <f t="shared" ref="B17:J17" si="2">B2</f>
        <v>β1</v>
      </c>
      <c r="C17" s="107" t="str">
        <f t="shared" si="2"/>
        <v>2.5% CI</v>
      </c>
      <c r="D17" s="107" t="str">
        <f t="shared" si="2"/>
        <v>97.5% CI</v>
      </c>
      <c r="E17" s="107" t="str">
        <f t="shared" si="2"/>
        <v xml:space="preserve">SE </v>
      </c>
      <c r="F17" s="107" t="str">
        <f t="shared" si="2"/>
        <v>t</v>
      </c>
      <c r="G17" s="107" t="str">
        <f t="shared" si="2"/>
        <v>df</v>
      </c>
      <c r="H17" s="106" t="str">
        <f t="shared" si="2"/>
        <v>p. val.</v>
      </c>
      <c r="I17" s="106" t="str">
        <f t="shared" si="2"/>
        <v>p.adj</v>
      </c>
      <c r="J17" s="109" t="str">
        <f t="shared" si="2"/>
        <v>sig.</v>
      </c>
      <c r="K17" s="180" t="s">
        <v>64</v>
      </c>
    </row>
    <row r="18" spans="1:11" ht="15.75" customHeight="1" thickTop="1" thickBot="1" x14ac:dyDescent="0.25">
      <c r="A18" s="102" t="s">
        <v>28</v>
      </c>
      <c r="B18" s="105">
        <f>[9]Mode_l_f0_b1!C5</f>
        <v>1.4970000000000001</v>
      </c>
      <c r="C18" s="105">
        <f>[9]Mode_l_f0_b1!D5</f>
        <v>1.1854525270521099</v>
      </c>
      <c r="D18" s="105">
        <f>[9]Mode_l_f0_b1!E5</f>
        <v>1.80867682923135</v>
      </c>
      <c r="E18" s="100">
        <f>[9]Mode_l_f0_b1!F5</f>
        <v>0.159</v>
      </c>
      <c r="F18" s="100">
        <f>[9]Mode_l_f0_b1!G5</f>
        <v>9.4350000000000005</v>
      </c>
      <c r="G18" s="100">
        <f>[9]Mode_l_f0_b1!H5</f>
        <v>611.16</v>
      </c>
      <c r="H18" s="99">
        <f>[9]Mode_l_f0_b1!I5</f>
        <v>8.1000000000000005E-20</v>
      </c>
      <c r="I18" s="98">
        <f>[9]Mode_l_f0_b1!J5</f>
        <v>7.0999999999999998E-19</v>
      </c>
      <c r="J18" s="97" t="str">
        <f>[9]Mode_l_f0_b1!K5</f>
        <v>p&lt;0.0001</v>
      </c>
      <c r="K18" s="181">
        <f>B18-C18</f>
        <v>0.3115474729478902</v>
      </c>
    </row>
    <row r="19" spans="1:11" ht="15.75" customHeight="1" thickBot="1" x14ac:dyDescent="0.25">
      <c r="A19" s="102" t="s">
        <v>29</v>
      </c>
      <c r="B19" s="104">
        <f>[10]Mode_h_f0_b1!C5</f>
        <v>1.3129999999999999</v>
      </c>
      <c r="C19" s="104">
        <f>[10]Mode_h_f0_b1!D5</f>
        <v>0.87631793303014605</v>
      </c>
      <c r="D19" s="104">
        <f>[10]Mode_h_f0_b1!E5</f>
        <v>1.74901516185067</v>
      </c>
      <c r="E19" s="103">
        <f>[10]Mode_h_f0_b1!F5</f>
        <v>0.222</v>
      </c>
      <c r="F19" s="103">
        <f>[10]Mode_h_f0_b1!G5</f>
        <v>5.9080000000000004</v>
      </c>
      <c r="G19" s="103">
        <f>[10]Mode_h_f0_b1!H5</f>
        <v>616.16999999999996</v>
      </c>
      <c r="H19" s="99">
        <f>[10]Mode_h_f0_b1!I5</f>
        <v>5.6999999999999998E-9</v>
      </c>
      <c r="I19" s="98">
        <f>[10]Mode_h_f0_b1!J5</f>
        <v>2.4E-8</v>
      </c>
      <c r="J19" s="97" t="str">
        <f>[10]Mode_h_f0_b1!K5</f>
        <v>p&lt;0.0001</v>
      </c>
      <c r="K19" s="181">
        <f>B19-C19</f>
        <v>0.4366820669698539</v>
      </c>
    </row>
    <row r="20" spans="1:11" ht="15.75" customHeight="1" thickBot="1" x14ac:dyDescent="0.25">
      <c r="A20" s="102" t="s">
        <v>30</v>
      </c>
      <c r="B20" s="101">
        <f>[11]Mode_l_t_b1!C5</f>
        <v>-2.6989999999999998</v>
      </c>
      <c r="C20" s="101">
        <f>[11]Mode_l_t_b1!D5</f>
        <v>-6.6517684461969697</v>
      </c>
      <c r="D20" s="101">
        <f>[11]Mode_l_t_b1!E5</f>
        <v>1.25375413125451</v>
      </c>
      <c r="E20" s="100">
        <f>[11]Mode_l_t_b1!F5</f>
        <v>2.0129999999999999</v>
      </c>
      <c r="F20" s="100">
        <f>[11]Mode_l_t_b1!G5</f>
        <v>-1.341</v>
      </c>
      <c r="G20" s="100">
        <f>[11]Mode_l_t_b1!H5</f>
        <v>611.91</v>
      </c>
      <c r="H20" s="211">
        <f>[11]Mode_l_t_b1!I5</f>
        <v>0.18</v>
      </c>
      <c r="I20" s="110">
        <f>[11]Mode_l_t_b1!J5</f>
        <v>0.246</v>
      </c>
      <c r="J20" s="97">
        <f>[11]Mode_l_t_b1!K5</f>
        <v>0</v>
      </c>
      <c r="K20" s="181">
        <f>B20-C20</f>
        <v>3.9527684461969699</v>
      </c>
    </row>
    <row r="21" spans="1:11" ht="15.75" customHeight="1" thickBot="1" x14ac:dyDescent="0.25">
      <c r="A21" s="102" t="s">
        <v>31</v>
      </c>
      <c r="B21" s="101">
        <f>[12]Mode_h_t_b1!C5</f>
        <v>-2.105</v>
      </c>
      <c r="C21" s="101">
        <f>[12]Mode_h_t_b1!D5</f>
        <v>-7.9337797320526899</v>
      </c>
      <c r="D21" s="101">
        <f>[12]Mode_h_t_b1!E5</f>
        <v>3.7238005439951198</v>
      </c>
      <c r="E21" s="100">
        <f>[12]Mode_h_t_b1!F5</f>
        <v>2.968</v>
      </c>
      <c r="F21" s="100">
        <f>[12]Mode_h_t_b1!G5</f>
        <v>-0.70899999999999996</v>
      </c>
      <c r="G21" s="100">
        <f>[12]Mode_h_t_b1!H5</f>
        <v>613.21</v>
      </c>
      <c r="H21" s="110">
        <f>[12]Mode_h_t_b1!I5</f>
        <v>0.47799999999999998</v>
      </c>
      <c r="I21" s="98">
        <f>[12]Mode_h_t_b1!J5</f>
        <v>0.57999999999999996</v>
      </c>
      <c r="J21" s="97">
        <f>[12]Mode_h_t_b1!K5</f>
        <v>0</v>
      </c>
      <c r="K21" s="181">
        <f>B21-C21</f>
        <v>5.8287797320526895</v>
      </c>
    </row>
    <row r="22" spans="1:11" ht="15.75" customHeight="1" thickTop="1" thickBot="1" x14ac:dyDescent="0.25">
      <c r="A22" s="108" t="s">
        <v>38</v>
      </c>
      <c r="B22" s="107" t="str">
        <f t="shared" ref="B22:J22" si="3">B2</f>
        <v>β1</v>
      </c>
      <c r="C22" s="107" t="str">
        <f t="shared" si="3"/>
        <v>2.5% CI</v>
      </c>
      <c r="D22" s="107" t="str">
        <f t="shared" si="3"/>
        <v>97.5% CI</v>
      </c>
      <c r="E22" s="107" t="str">
        <f t="shared" si="3"/>
        <v xml:space="preserve">SE </v>
      </c>
      <c r="F22" s="107" t="str">
        <f t="shared" si="3"/>
        <v>t</v>
      </c>
      <c r="G22" s="107" t="str">
        <f t="shared" si="3"/>
        <v>df</v>
      </c>
      <c r="H22" s="106" t="str">
        <f t="shared" si="3"/>
        <v>p. val.</v>
      </c>
      <c r="I22" s="106" t="str">
        <f t="shared" si="3"/>
        <v>p.adj</v>
      </c>
      <c r="J22" s="109" t="str">
        <f t="shared" si="3"/>
        <v>sig.</v>
      </c>
      <c r="K22" s="180" t="s">
        <v>64</v>
      </c>
    </row>
    <row r="23" spans="1:11" ht="15.75" customHeight="1" thickTop="1" thickBot="1" x14ac:dyDescent="0.25">
      <c r="A23" s="102" t="s">
        <v>28</v>
      </c>
      <c r="B23" s="105">
        <f>[9]Mode_l_f0_b1!C6</f>
        <v>2.3580000000000001</v>
      </c>
      <c r="C23" s="105">
        <f>[9]Mode_l_f0_b1!D6</f>
        <v>2.0209588077641998</v>
      </c>
      <c r="D23" s="105">
        <f>[9]Mode_l_f0_b1!E6</f>
        <v>2.6957606420667402</v>
      </c>
      <c r="E23" s="100">
        <f>[9]Mode_l_f0_b1!F6</f>
        <v>0.17199999999999999</v>
      </c>
      <c r="F23" s="100">
        <f>[9]Mode_l_f0_b1!G6</f>
        <v>13.727</v>
      </c>
      <c r="G23" s="100">
        <f>[9]Mode_l_f0_b1!H6</f>
        <v>612.86</v>
      </c>
      <c r="H23" s="99">
        <f>[9]Mode_l_f0_b1!I6</f>
        <v>1.4000000000000001E-37</v>
      </c>
      <c r="I23" s="98">
        <f>[9]Mode_l_f0_b1!J6</f>
        <v>3.4000000000000003E-36</v>
      </c>
      <c r="J23" s="97" t="str">
        <f>[9]Mode_l_f0_b1!K6</f>
        <v>p&lt;0.0001</v>
      </c>
      <c r="K23" s="181">
        <f>B23-C23</f>
        <v>0.33704119223580031</v>
      </c>
    </row>
    <row r="24" spans="1:11" ht="15.75" customHeight="1" thickBot="1" x14ac:dyDescent="0.25">
      <c r="A24" s="102" t="s">
        <v>29</v>
      </c>
      <c r="B24" s="104">
        <f>[10]Mode_h_f0_b1!C6</f>
        <v>4.1059999999999999</v>
      </c>
      <c r="C24" s="104">
        <f>[10]Mode_h_f0_b1!D6</f>
        <v>3.6374300581047301</v>
      </c>
      <c r="D24" s="104">
        <f>[10]Mode_h_f0_b1!E6</f>
        <v>4.5750165191850796</v>
      </c>
      <c r="E24" s="103">
        <f>[10]Mode_h_f0_b1!F6</f>
        <v>0.23899999999999999</v>
      </c>
      <c r="F24" s="103">
        <f>[10]Mode_h_f0_b1!G6</f>
        <v>17.201000000000001</v>
      </c>
      <c r="G24" s="103">
        <f>[10]Mode_h_f0_b1!H6</f>
        <v>618.02</v>
      </c>
      <c r="H24" s="99">
        <f>[10]Mode_h_f0_b1!I6</f>
        <v>1.7999999999999999E-54</v>
      </c>
      <c r="I24" s="98">
        <f>[10]Mode_h_f0_b1!J6</f>
        <v>8.6999999999999994E-53</v>
      </c>
      <c r="J24" s="97" t="str">
        <f>[10]Mode_h_f0_b1!K6</f>
        <v>p&lt;0.0001</v>
      </c>
      <c r="K24" s="181">
        <f>B24-C24</f>
        <v>0.46856994189526979</v>
      </c>
    </row>
    <row r="25" spans="1:11" ht="15.75" customHeight="1" thickBot="1" x14ac:dyDescent="0.25">
      <c r="A25" s="102" t="s">
        <v>30</v>
      </c>
      <c r="B25" s="101">
        <f>[11]Mode_l_t_b1!C6</f>
        <v>-21.452000000000002</v>
      </c>
      <c r="C25" s="101">
        <f>[11]Mode_l_t_b1!D6</f>
        <v>-25.665332374712499</v>
      </c>
      <c r="D25" s="101">
        <f>[11]Mode_l_t_b1!E6</f>
        <v>-17.238892292556901</v>
      </c>
      <c r="E25" s="100">
        <f>[11]Mode_l_t_b1!F6</f>
        <v>2.145</v>
      </c>
      <c r="F25" s="100">
        <f>[11]Mode_l_t_b1!G6</f>
        <v>-10</v>
      </c>
      <c r="G25" s="100">
        <f>[11]Mode_l_t_b1!H6</f>
        <v>595.95000000000005</v>
      </c>
      <c r="H25" s="99">
        <f>[11]Mode_l_t_b1!I6</f>
        <v>7.1999999999999996E-22</v>
      </c>
      <c r="I25" s="98">
        <f>[11]Mode_l_t_b1!J6</f>
        <v>7.8000000000000001E-21</v>
      </c>
      <c r="J25" s="97" t="str">
        <f>[11]Mode_l_t_b1!K6</f>
        <v>p&lt;0.0001</v>
      </c>
      <c r="K25" s="181">
        <f>B25-C25</f>
        <v>4.2133323747124969</v>
      </c>
    </row>
    <row r="26" spans="1:11" ht="15.75" customHeight="1" thickBot="1" x14ac:dyDescent="0.25">
      <c r="A26" s="102" t="s">
        <v>31</v>
      </c>
      <c r="B26" s="101">
        <f>[12]Mode_h_t_b1!C6</f>
        <v>-16.462</v>
      </c>
      <c r="C26" s="101">
        <f>[12]Mode_h_t_b1!D6</f>
        <v>-22.716913416964701</v>
      </c>
      <c r="D26" s="101">
        <f>[12]Mode_h_t_b1!E6</f>
        <v>-10.206576965677501</v>
      </c>
      <c r="E26" s="100">
        <f>[12]Mode_h_t_b1!F6</f>
        <v>3.1850000000000001</v>
      </c>
      <c r="F26" s="100">
        <f>[12]Mode_h_t_b1!G6</f>
        <v>-5.1680000000000001</v>
      </c>
      <c r="G26" s="100">
        <f>[12]Mode_h_t_b1!H6</f>
        <v>615</v>
      </c>
      <c r="H26" s="99">
        <f>[12]Mode_h_t_b1!I6</f>
        <v>3.2000000000000001E-7</v>
      </c>
      <c r="I26" s="98">
        <f>[12]Mode_h_t_b1!J6</f>
        <v>1.1999999999999999E-6</v>
      </c>
      <c r="J26" s="97" t="str">
        <f>[12]Mode_h_t_b1!K6</f>
        <v>p&lt;0.0001</v>
      </c>
      <c r="K26" s="181">
        <f>B26-C26</f>
        <v>6.2549134169647012</v>
      </c>
    </row>
    <row r="27" spans="1:11" ht="15.75" customHeight="1" thickTop="1" thickBot="1" x14ac:dyDescent="0.25">
      <c r="A27" s="108" t="s">
        <v>63</v>
      </c>
      <c r="B27" s="107" t="str">
        <f t="shared" ref="B27:I27" si="4">B2</f>
        <v>β1</v>
      </c>
      <c r="C27" s="107" t="str">
        <f t="shared" si="4"/>
        <v>2.5% CI</v>
      </c>
      <c r="D27" s="107" t="str">
        <f t="shared" si="4"/>
        <v>97.5% CI</v>
      </c>
      <c r="E27" s="107" t="str">
        <f t="shared" si="4"/>
        <v xml:space="preserve">SE </v>
      </c>
      <c r="F27" s="107" t="str">
        <f t="shared" si="4"/>
        <v>t</v>
      </c>
      <c r="G27" s="107" t="str">
        <f t="shared" si="4"/>
        <v>df</v>
      </c>
      <c r="H27" s="106" t="str">
        <f t="shared" si="4"/>
        <v>p. val.</v>
      </c>
      <c r="I27" s="106" t="str">
        <f t="shared" si="4"/>
        <v>p.adj</v>
      </c>
      <c r="J27" s="106" t="str">
        <f>J7</f>
        <v>sig.</v>
      </c>
      <c r="K27" s="180" t="s">
        <v>64</v>
      </c>
    </row>
    <row r="28" spans="1:11" ht="15.75" customHeight="1" thickTop="1" thickBot="1" x14ac:dyDescent="0.25">
      <c r="A28" s="102" t="s">
        <v>28</v>
      </c>
      <c r="B28" s="105">
        <f>[9]Mode_l_f0_b1!C7</f>
        <v>0.86099999999999999</v>
      </c>
      <c r="C28" s="105">
        <f>[9]Mode_l_f0_b1!D7</f>
        <v>0.53228450758934498</v>
      </c>
      <c r="D28" s="105">
        <f>[9]Mode_l_f0_b1!E7</f>
        <v>1.19030558605054</v>
      </c>
      <c r="E28" s="100">
        <f>[9]Mode_l_f0_b1!F7</f>
        <v>0.16800000000000001</v>
      </c>
      <c r="F28" s="100">
        <f>[9]Mode_l_f0_b1!G7</f>
        <v>5.141</v>
      </c>
      <c r="G28" s="100">
        <f>[9]Mode_l_f0_b1!H7</f>
        <v>612.36</v>
      </c>
      <c r="H28" s="99">
        <f>[9]Mode_l_f0_b1!I7</f>
        <v>3.7E-7</v>
      </c>
      <c r="I28" s="98">
        <f>[9]Mode_l_f0_b1!J7</f>
        <v>1.3E-6</v>
      </c>
      <c r="J28" s="97" t="str">
        <f>[9]Mode_l_f0_b1!K7</f>
        <v>p&lt;0.0001</v>
      </c>
      <c r="K28" s="181">
        <f>B28-C28</f>
        <v>0.32871549241065501</v>
      </c>
    </row>
    <row r="29" spans="1:11" ht="15.75" customHeight="1" thickBot="1" x14ac:dyDescent="0.25">
      <c r="A29" s="102" t="s">
        <v>29</v>
      </c>
      <c r="B29" s="104">
        <f>[10]Mode_h_f0_b1!C7</f>
        <v>2.794</v>
      </c>
      <c r="C29" s="104">
        <f>[10]Mode_h_f0_b1!D7</f>
        <v>2.3362844730857</v>
      </c>
      <c r="D29" s="104">
        <f>[10]Mode_h_f0_b1!E7</f>
        <v>3.25082900924733</v>
      </c>
      <c r="E29" s="103">
        <f>[10]Mode_h_f0_b1!F7</f>
        <v>0.23300000000000001</v>
      </c>
      <c r="F29" s="103">
        <f>[10]Mode_h_f0_b1!G7</f>
        <v>11.997</v>
      </c>
      <c r="G29" s="103">
        <f>[10]Mode_h_f0_b1!H7</f>
        <v>617.52</v>
      </c>
      <c r="H29" s="99">
        <f>[10]Mode_h_f0_b1!I7</f>
        <v>5.8999999999999998E-30</v>
      </c>
      <c r="I29" s="98">
        <f>[10]Mode_h_f0_b1!J7</f>
        <v>1.1E-28</v>
      </c>
      <c r="J29" s="97" t="str">
        <f>[10]Mode_h_f0_b1!K7</f>
        <v>p&lt;0.0001</v>
      </c>
      <c r="K29" s="181">
        <f>B29-C29</f>
        <v>0.45771552691430006</v>
      </c>
    </row>
    <row r="30" spans="1:11" ht="15.75" customHeight="1" thickBot="1" x14ac:dyDescent="0.25">
      <c r="A30" s="102" t="s">
        <v>30</v>
      </c>
      <c r="B30" s="101">
        <f>[11]Mode_l_t_b1!C7</f>
        <v>-18.753</v>
      </c>
      <c r="C30" s="101">
        <f>[11]Mode_l_t_b1!D7</f>
        <v>-22.880955572601501</v>
      </c>
      <c r="D30" s="101">
        <f>[11]Mode_l_t_b1!E7</f>
        <v>-14.6252548065235</v>
      </c>
      <c r="E30" s="100">
        <f>[11]Mode_l_t_b1!F7</f>
        <v>2.1019999999999999</v>
      </c>
      <c r="F30" s="100">
        <f>[11]Mode_l_t_b1!G7</f>
        <v>-8.9220000000000006</v>
      </c>
      <c r="G30" s="100">
        <f>[11]Mode_l_t_b1!H7</f>
        <v>609.03</v>
      </c>
      <c r="H30" s="99">
        <f>[11]Mode_l_t_b1!I7</f>
        <v>5.3000000000000003E-18</v>
      </c>
      <c r="I30" s="98">
        <f>[11]Mode_l_t_b1!J7</f>
        <v>4.3000000000000002E-17</v>
      </c>
      <c r="J30" s="97" t="str">
        <f>[11]Mode_l_t_b1!K7</f>
        <v>p&lt;0.0001</v>
      </c>
      <c r="K30" s="181">
        <f>B30-C30</f>
        <v>4.1279555726015005</v>
      </c>
    </row>
    <row r="31" spans="1:11" ht="15.75" customHeight="1" thickBot="1" x14ac:dyDescent="0.25">
      <c r="A31" s="102" t="s">
        <v>31</v>
      </c>
      <c r="B31" s="101">
        <f>[12]Mode_h_t_b1!C7</f>
        <v>-14.356999999999999</v>
      </c>
      <c r="C31" s="101">
        <f>[12]Mode_h_t_b1!D7</f>
        <v>-20.468165663037698</v>
      </c>
      <c r="D31" s="101">
        <f>[12]Mode_h_t_b1!E7</f>
        <v>-8.2453455316897895</v>
      </c>
      <c r="E31" s="100">
        <f>[12]Mode_h_t_b1!F7</f>
        <v>3.1120000000000001</v>
      </c>
      <c r="F31" s="100">
        <f>[12]Mode_h_t_b1!G7</f>
        <v>-4.6130000000000004</v>
      </c>
      <c r="G31" s="100">
        <f>[12]Mode_h_t_b1!H7</f>
        <v>614.38</v>
      </c>
      <c r="H31" s="99">
        <f>[12]Mode_h_t_b1!I7</f>
        <v>4.7999999999999998E-6</v>
      </c>
      <c r="I31" s="98">
        <f>[12]Mode_h_t_b1!J7</f>
        <v>1.5999999999999999E-5</v>
      </c>
      <c r="J31" s="97" t="str">
        <f>[12]Mode_h_t_b1!K7</f>
        <v>p&lt;0.0001</v>
      </c>
      <c r="K31" s="181">
        <f>B31-C31</f>
        <v>6.1111656630376991</v>
      </c>
    </row>
  </sheetData>
  <mergeCells count="1">
    <mergeCell ref="A1:J1"/>
  </mergeCells>
  <conditionalFormatting sqref="H8:I11 H13:I16 H3:I6 H18:I21 H23:I26 H28:I31">
    <cfRule type="cellIs" dxfId="197" priority="10" stopIfTrue="1" operator="lessThan">
      <formula>0.0001</formula>
    </cfRule>
    <cfRule type="cellIs" dxfId="196" priority="11" stopIfTrue="1" operator="lessThan">
      <formula>0.001</formula>
    </cfRule>
    <cfRule type="cellIs" dxfId="195" priority="12" stopIfTrue="1" operator="lessThan">
      <formula>0.05</formula>
    </cfRule>
    <cfRule type="cellIs" dxfId="194" priority="13" stopIfTrue="1" operator="lessThan">
      <formula>0.1</formula>
    </cfRule>
  </conditionalFormatting>
  <conditionalFormatting sqref="J8:J11 J13:J16 J3:J6 J18:J21 J23:J26 J28:J31">
    <cfRule type="containsText" dxfId="193" priority="5" stopIfTrue="1" operator="containsText" text="p&lt;0.0001">
      <formula>NOT(ISERROR(SEARCH("p&lt;0.0001",J3)))</formula>
    </cfRule>
    <cfRule type="containsText" dxfId="192" priority="6" stopIfTrue="1" operator="containsText" text="p&lt;0.001">
      <formula>NOT(ISERROR(SEARCH("p&lt;0.001",J3)))</formula>
    </cfRule>
    <cfRule type="containsText" dxfId="191" priority="7" stopIfTrue="1" operator="containsText" text="p&lt;0.01">
      <formula>NOT(ISERROR(SEARCH("p&lt;0.01",J3)))</formula>
    </cfRule>
    <cfRule type="containsText" dxfId="190" priority="8" stopIfTrue="1" operator="containsText" text="p&lt;0.05">
      <formula>NOT(ISERROR(SEARCH("p&lt;0.05",J3)))</formula>
    </cfRule>
    <cfRule type="containsText" dxfId="189" priority="9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Normal="100" workbookViewId="0"/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27" spans="4:5" x14ac:dyDescent="0.25">
      <c r="D27" t="s">
        <v>52</v>
      </c>
    </row>
    <row r="29" spans="4:5" x14ac:dyDescent="0.25">
      <c r="E29" t="s">
        <v>52</v>
      </c>
    </row>
    <row r="33" spans="5:6" x14ac:dyDescent="0.25">
      <c r="F33" t="s">
        <v>19</v>
      </c>
    </row>
    <row r="34" spans="5:6" x14ac:dyDescent="0.25">
      <c r="E34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2"/>
  <sheetViews>
    <sheetView showGridLines="0" zoomScale="111" zoomScaleNormal="111" zoomScaleSheetLayoutView="47" workbookViewId="0">
      <selection sqref="A1:J1"/>
    </sheetView>
  </sheetViews>
  <sheetFormatPr defaultColWidth="13.85546875" defaultRowHeight="12.75" x14ac:dyDescent="0.2"/>
  <cols>
    <col min="1" max="1" width="17.140625" style="41" customWidth="1"/>
    <col min="2" max="8" width="11.85546875" style="42" customWidth="1"/>
    <col min="9" max="10" width="11.85546875" style="43" customWidth="1"/>
    <col min="11" max="14" width="11.85546875" style="44" customWidth="1"/>
    <col min="15" max="15" width="11.85546875" style="45" customWidth="1"/>
    <col min="16" max="16" width="11.42578125" style="45" customWidth="1"/>
    <col min="17" max="18" width="7.7109375" style="44" customWidth="1"/>
    <col min="19" max="20" width="11.42578125" style="44" customWidth="1"/>
    <col min="21" max="21" width="8.7109375" style="44" customWidth="1"/>
    <col min="22" max="23" width="11.42578125" style="44" customWidth="1"/>
    <col min="24" max="24" width="11.140625" style="45" customWidth="1"/>
    <col min="25" max="25" width="11.42578125" style="45" customWidth="1"/>
    <col min="26" max="27" width="11.42578125" style="44" customWidth="1"/>
    <col min="28" max="16384" width="13.85546875" style="46"/>
  </cols>
  <sheetData>
    <row r="1" spans="1:27" s="265" customFormat="1" ht="24" customHeight="1" thickBot="1" x14ac:dyDescent="0.35">
      <c r="A1" s="277" t="s">
        <v>73</v>
      </c>
      <c r="B1" s="277"/>
      <c r="C1" s="277"/>
      <c r="D1" s="277"/>
      <c r="E1" s="277"/>
      <c r="F1" s="277"/>
      <c r="G1" s="277"/>
      <c r="H1" s="277"/>
      <c r="I1" s="277"/>
      <c r="J1" s="277"/>
      <c r="K1" s="263"/>
      <c r="L1" s="278" t="s">
        <v>80</v>
      </c>
      <c r="M1" s="278"/>
      <c r="N1" s="278"/>
      <c r="O1" s="264"/>
      <c r="P1" s="264"/>
      <c r="Q1" s="263"/>
      <c r="R1" s="263"/>
      <c r="S1" s="263"/>
      <c r="T1" s="263"/>
      <c r="U1" s="263"/>
      <c r="V1" s="263"/>
      <c r="W1" s="263"/>
      <c r="X1" s="264"/>
      <c r="Y1" s="264"/>
      <c r="Z1" s="263"/>
      <c r="AA1" s="263"/>
    </row>
    <row r="2" spans="1:27" ht="15.75" customHeight="1" thickTop="1" thickBot="1" x14ac:dyDescent="0.25">
      <c r="A2" s="47" t="s">
        <v>14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46"/>
      <c r="L2" s="47" t="s">
        <v>70</v>
      </c>
      <c r="M2" s="47" t="s">
        <v>71</v>
      </c>
      <c r="N2" s="47" t="s">
        <v>72</v>
      </c>
    </row>
    <row r="3" spans="1:27" ht="15.75" customHeight="1" thickTop="1" thickBot="1" x14ac:dyDescent="0.25">
      <c r="A3" s="49" t="s">
        <v>28</v>
      </c>
      <c r="B3" s="49">
        <f>[13]Mode_PA_l_f0_b0!B2</f>
        <v>83.99</v>
      </c>
      <c r="C3" s="49">
        <f>[13]Mode_PA_l_f0_b0!C2</f>
        <v>80.453351074980304</v>
      </c>
      <c r="D3" s="49">
        <f>[13]Mode_PA_l_f0_b0!D2</f>
        <v>87.527230630068203</v>
      </c>
      <c r="E3" s="50">
        <f>[13]Mode_PA_l_f0_b0!E2</f>
        <v>1.623</v>
      </c>
      <c r="F3" s="50">
        <f>[13]Mode_PA_l_f0_b0!F2</f>
        <v>51.753</v>
      </c>
      <c r="G3" s="50">
        <f>[13]Mode_PA_l_f0_b0!G2</f>
        <v>11.97</v>
      </c>
      <c r="H3" s="51">
        <f>[13]Mode_PA_l_f0_b0!H2</f>
        <v>1.9000000000000001E-15</v>
      </c>
      <c r="I3" s="52">
        <f>[13]Mode_PA_l_f0_b0!I2</f>
        <v>1.1999999999999999E-14</v>
      </c>
      <c r="J3" s="53" t="str">
        <f>[13]Mode_PA_l_f0_b0!J2</f>
        <v>p&lt;0.0001</v>
      </c>
      <c r="K3" s="46"/>
      <c r="L3" s="210" t="s">
        <v>41</v>
      </c>
      <c r="M3" s="253">
        <f>[14]Mode_PA_l_f0_r2!B3</f>
        <v>5.6672945964226902E-2</v>
      </c>
      <c r="N3" s="253">
        <f>[14]Mode_PA_l_f0_r2!B2</f>
        <v>0.95092595995270601</v>
      </c>
    </row>
    <row r="4" spans="1:27" ht="15.75" customHeight="1" thickBot="1" x14ac:dyDescent="0.25">
      <c r="A4" s="54" t="s">
        <v>29</v>
      </c>
      <c r="B4" s="54">
        <f>[15]Mode_PA_h_f0_b0!B2</f>
        <v>90.16</v>
      </c>
      <c r="C4" s="54">
        <f>[15]Mode_PA_h_f0_b0!C2</f>
        <v>86.123043762318801</v>
      </c>
      <c r="D4" s="54">
        <f>[15]Mode_PA_h_f0_b0!D2</f>
        <v>94.197953690226399</v>
      </c>
      <c r="E4" s="55">
        <f>[15]Mode_PA_h_f0_b0!E2</f>
        <v>1.8029999999999999</v>
      </c>
      <c r="F4" s="55">
        <f>[15]Mode_PA_h_f0_b0!F2</f>
        <v>50.005000000000003</v>
      </c>
      <c r="G4" s="55">
        <f>[15]Mode_PA_h_f0_b0!G2</f>
        <v>9.65</v>
      </c>
      <c r="H4" s="56">
        <f>[15]Mode_PA_h_f0_b0!H2</f>
        <v>5.6000000000000004E-13</v>
      </c>
      <c r="I4" s="57">
        <f>[15]Mode_PA_h_f0_b0!I2</f>
        <v>1.2999999999999999E-12</v>
      </c>
      <c r="J4" s="58" t="str">
        <f>[15]Mode_PA_h_f0_b0!J2</f>
        <v>p&lt;0.0001</v>
      </c>
      <c r="K4" s="46"/>
      <c r="L4" s="213" t="s">
        <v>42</v>
      </c>
      <c r="M4" s="254">
        <f>[16]Mode_PA_h_f0_r2!B3</f>
        <v>0.11904129817262001</v>
      </c>
      <c r="N4" s="254">
        <f>[16]Mode_PA_h_f0_r2!B2</f>
        <v>0.90843440204111703</v>
      </c>
    </row>
    <row r="5" spans="1:27" ht="15.75" customHeight="1" thickBot="1" x14ac:dyDescent="0.25">
      <c r="A5" s="59" t="s">
        <v>30</v>
      </c>
      <c r="B5" s="59">
        <f>[17]Mode_PA_l_t_b0!B2</f>
        <v>67.408000000000001</v>
      </c>
      <c r="C5" s="59">
        <f>[17]Mode_PA_l_t_b0!C2</f>
        <v>45.906075043170702</v>
      </c>
      <c r="D5" s="59">
        <f>[17]Mode_PA_l_t_b0!D2</f>
        <v>88.909427524989596</v>
      </c>
      <c r="E5" s="54">
        <f>[17]Mode_PA_l_t_b0!E2</f>
        <v>9.8879999999999999</v>
      </c>
      <c r="F5" s="55">
        <f>[17]Mode_PA_l_t_b0!F2</f>
        <v>6.8170000000000002</v>
      </c>
      <c r="G5" s="55">
        <f>[17]Mode_PA_l_t_b0!G2</f>
        <v>12.22</v>
      </c>
      <c r="H5" s="56">
        <f>[17]Mode_PA_l_t_b0!H2</f>
        <v>1.7E-5</v>
      </c>
      <c r="I5" s="57">
        <f>[17]Mode_PA_l_t_b0!I2</f>
        <v>2.8E-5</v>
      </c>
      <c r="J5" s="58" t="str">
        <f>[17]Mode_PA_l_t_b0!J2</f>
        <v>p&lt;0.0001</v>
      </c>
      <c r="K5" s="46"/>
      <c r="L5" s="216" t="s">
        <v>4</v>
      </c>
      <c r="M5" s="254">
        <f>[18]Mode_PA_l_t_r2!B3</f>
        <v>7.2121393405386897E-2</v>
      </c>
      <c r="N5" s="254">
        <f>[18]Mode_PA_l_t_r2!B2</f>
        <v>0.77329835004832403</v>
      </c>
    </row>
    <row r="6" spans="1:27" ht="15.75" customHeight="1" thickBot="1" x14ac:dyDescent="0.25">
      <c r="A6" s="59" t="s">
        <v>31</v>
      </c>
      <c r="B6" s="59">
        <f>[19]Mode_PA_h_t_b0!B2</f>
        <v>268.214</v>
      </c>
      <c r="C6" s="59">
        <f>[19]Mode_PA_h_t_b0!C2</f>
        <v>187.77360112485999</v>
      </c>
      <c r="D6" s="59">
        <f>[19]Mode_PA_h_t_b0!D2</f>
        <v>348.655341966148</v>
      </c>
      <c r="E6" s="54">
        <f>[19]Mode_PA_h_t_b0!E2</f>
        <v>30.707999999999998</v>
      </c>
      <c r="F6" s="55">
        <f>[19]Mode_PA_h_t_b0!F2</f>
        <v>8.734</v>
      </c>
      <c r="G6" s="55">
        <f>[19]Mode_PA_h_t_b0!G2</f>
        <v>4.71</v>
      </c>
      <c r="H6" s="60">
        <f>[19]Mode_PA_h_t_b0!H2</f>
        <v>4.4000000000000002E-4</v>
      </c>
      <c r="I6" s="60">
        <f>[19]Mode_PA_h_t_b0!I2</f>
        <v>5.2999999999999998E-4</v>
      </c>
      <c r="J6" s="58" t="str">
        <f>[19]Mode_PA_h_t_b0!J2</f>
        <v>p&lt;0.001</v>
      </c>
      <c r="K6" s="46"/>
      <c r="L6" s="217" t="s">
        <v>3</v>
      </c>
      <c r="M6" s="254">
        <f>[20]Mode_PA_h_t_r2!B3</f>
        <v>2.16840471179113E-2</v>
      </c>
      <c r="N6" s="254">
        <f>[20]Mode_PA_h_t_r2!B2</f>
        <v>0.85479648531734098</v>
      </c>
    </row>
    <row r="7" spans="1:27" ht="15.75" customHeight="1" thickTop="1" thickBot="1" x14ac:dyDescent="0.25">
      <c r="A7" s="47" t="s">
        <v>15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07.5% CI</v>
      </c>
      <c r="E7" s="47" t="str">
        <f t="shared" si="0"/>
        <v>std.error</v>
      </c>
      <c r="F7" s="47" t="str">
        <f t="shared" si="0"/>
        <v>t</v>
      </c>
      <c r="G7" s="47" t="str">
        <f t="shared" si="0"/>
        <v>df</v>
      </c>
      <c r="H7" s="47" t="str">
        <f t="shared" si="0"/>
        <v>p. val.</v>
      </c>
      <c r="I7" s="47" t="str">
        <f t="shared" si="0"/>
        <v>p.adj.</v>
      </c>
      <c r="J7" s="47" t="str">
        <f t="shared" si="0"/>
        <v>sig.</v>
      </c>
      <c r="M7" s="45"/>
      <c r="N7" s="45"/>
      <c r="O7" s="44"/>
      <c r="P7" s="44"/>
      <c r="V7" s="45"/>
      <c r="W7" s="45"/>
      <c r="X7" s="44"/>
      <c r="Y7" s="44"/>
      <c r="Z7" s="46"/>
      <c r="AA7" s="46"/>
    </row>
    <row r="8" spans="1:27" ht="15.75" customHeight="1" thickTop="1" x14ac:dyDescent="0.2">
      <c r="A8" s="49" t="str">
        <f>A3</f>
        <v>l_f0</v>
      </c>
      <c r="B8" s="49">
        <f>[13]Mode_PA_l_f0_b0!B3</f>
        <v>84.075999999999993</v>
      </c>
      <c r="C8" s="49">
        <f>[13]Mode_PA_l_f0_b0!C3</f>
        <v>80.539039447165607</v>
      </c>
      <c r="D8" s="49">
        <f>[13]Mode_PA_l_f0_b0!D3</f>
        <v>87.613137543283798</v>
      </c>
      <c r="E8" s="50">
        <f>[13]Mode_PA_l_f0_b0!E3</f>
        <v>1.623</v>
      </c>
      <c r="F8" s="50">
        <f>[13]Mode_PA_l_f0_b0!F3</f>
        <v>51.802999999999997</v>
      </c>
      <c r="G8" s="50">
        <f>[13]Mode_PA_l_f0_b0!G3</f>
        <v>11.97</v>
      </c>
      <c r="H8" s="51">
        <f>[13]Mode_PA_l_f0_b0!H3</f>
        <v>1.9000000000000001E-15</v>
      </c>
      <c r="I8" s="51">
        <f>[13]Mode_PA_l_f0_b0!I3</f>
        <v>1.1999999999999999E-14</v>
      </c>
      <c r="J8" s="53" t="str">
        <f>[13]Mode_PA_l_f0_b0!J3</f>
        <v>p&lt;0.0001</v>
      </c>
      <c r="M8" s="45"/>
      <c r="N8" s="45"/>
      <c r="O8" s="44"/>
      <c r="P8" s="44"/>
      <c r="V8" s="45"/>
      <c r="W8" s="45"/>
      <c r="X8" s="44"/>
      <c r="Y8" s="44"/>
      <c r="Z8" s="46"/>
      <c r="AA8" s="46"/>
    </row>
    <row r="9" spans="1:27" ht="15.75" customHeight="1" x14ac:dyDescent="0.2">
      <c r="A9" s="54" t="str">
        <f>A4</f>
        <v>h_f0</v>
      </c>
      <c r="B9" s="54">
        <f>[15]Mode_PA_h_f0_b0!B3</f>
        <v>90.578000000000003</v>
      </c>
      <c r="C9" s="55">
        <f>[15]Mode_PA_h_f0_b0!C3</f>
        <v>86.540423250920597</v>
      </c>
      <c r="D9" s="55">
        <f>[15]Mode_PA_h_f0_b0!D3</f>
        <v>94.615525934098201</v>
      </c>
      <c r="E9" s="55">
        <f>[15]Mode_PA_h_f0_b0!E3</f>
        <v>1.8029999999999999</v>
      </c>
      <c r="F9" s="55">
        <f>[15]Mode_PA_h_f0_b0!F3</f>
        <v>50.234000000000002</v>
      </c>
      <c r="G9" s="55">
        <f>[15]Mode_PA_h_f0_b0!G3</f>
        <v>9.65</v>
      </c>
      <c r="H9" s="56">
        <f>[15]Mode_PA_h_f0_b0!H3</f>
        <v>5.4000000000000002E-13</v>
      </c>
      <c r="I9" s="56">
        <f>[15]Mode_PA_h_f0_b0!I3</f>
        <v>1.2999999999999999E-12</v>
      </c>
      <c r="J9" s="58" t="str">
        <f>[15]Mode_PA_h_f0_b0!J3</f>
        <v>p&lt;0.0001</v>
      </c>
      <c r="M9" s="45"/>
      <c r="N9" s="45"/>
      <c r="O9" s="44"/>
      <c r="P9" s="44"/>
      <c r="V9" s="45"/>
      <c r="W9" s="45"/>
      <c r="X9" s="44"/>
      <c r="Y9" s="44"/>
      <c r="Z9" s="46"/>
      <c r="AA9" s="46"/>
    </row>
    <row r="10" spans="1:27" ht="15.75" customHeight="1" x14ac:dyDescent="0.2">
      <c r="A10" s="59" t="str">
        <f>A5</f>
        <v>l_t</v>
      </c>
      <c r="B10" s="59">
        <f>[17]Mode_PA_l_t_b0!B3</f>
        <v>67.731999999999999</v>
      </c>
      <c r="C10" s="55">
        <f>[17]Mode_PA_l_t_b0!C3</f>
        <v>46.229535903865603</v>
      </c>
      <c r="D10" s="55">
        <f>[17]Mode_PA_l_t_b0!D3</f>
        <v>89.235346654396906</v>
      </c>
      <c r="E10" s="55">
        <f>[17]Mode_PA_l_t_b0!E3</f>
        <v>9.8889999999999993</v>
      </c>
      <c r="F10" s="55">
        <f>[17]Mode_PA_l_t_b0!F3</f>
        <v>6.8490000000000002</v>
      </c>
      <c r="G10" s="55">
        <f>[17]Mode_PA_l_t_b0!G3</f>
        <v>12.22</v>
      </c>
      <c r="H10" s="56">
        <f>[17]Mode_PA_l_t_b0!H3</f>
        <v>1.5999999999999999E-5</v>
      </c>
      <c r="I10" s="56">
        <f>[17]Mode_PA_l_t_b0!I3</f>
        <v>2.8E-5</v>
      </c>
      <c r="J10" s="58" t="str">
        <f>[17]Mode_PA_l_t_b0!J3</f>
        <v>p&lt;0.0001</v>
      </c>
      <c r="M10" s="45"/>
      <c r="N10" s="45"/>
      <c r="O10" s="44"/>
      <c r="P10" s="44"/>
      <c r="V10" s="45"/>
      <c r="W10" s="45"/>
      <c r="X10" s="44"/>
      <c r="Y10" s="44"/>
      <c r="Z10" s="46"/>
      <c r="AA10" s="46"/>
    </row>
    <row r="11" spans="1:27" ht="15.75" customHeight="1" thickBot="1" x14ac:dyDescent="0.25">
      <c r="A11" s="59" t="str">
        <f>A6</f>
        <v>h_t</v>
      </c>
      <c r="B11" s="59">
        <f>[19]Mode_PA_h_t_b0!B3</f>
        <v>267.76299999999998</v>
      </c>
      <c r="C11" s="55">
        <f>[19]Mode_PA_h_t_b0!C3</f>
        <v>187.32325202228199</v>
      </c>
      <c r="D11" s="55">
        <f>[19]Mode_PA_h_t_b0!D3</f>
        <v>348.20302685774101</v>
      </c>
      <c r="E11" s="55">
        <f>[19]Mode_PA_h_t_b0!E3</f>
        <v>30.709</v>
      </c>
      <c r="F11" s="55">
        <f>[19]Mode_PA_h_t_b0!F3</f>
        <v>8.7189999999999994</v>
      </c>
      <c r="G11" s="55">
        <f>[19]Mode_PA_h_t_b0!G3</f>
        <v>4.71</v>
      </c>
      <c r="H11" s="56">
        <f>[19]Mode_PA_h_t_b0!H3</f>
        <v>4.4000000000000002E-4</v>
      </c>
      <c r="I11" s="60">
        <f>[19]Mode_PA_h_t_b0!I3</f>
        <v>5.2999999999999998E-4</v>
      </c>
      <c r="J11" s="58" t="str">
        <f>[19]Mode_PA_h_t_b0!J3</f>
        <v>p&lt;0.001</v>
      </c>
      <c r="M11" s="45"/>
      <c r="N11" s="45"/>
      <c r="O11" s="44"/>
      <c r="P11" s="44"/>
      <c r="V11" s="45"/>
      <c r="W11" s="45"/>
      <c r="X11" s="44"/>
      <c r="Y11" s="44"/>
      <c r="Z11" s="46"/>
      <c r="AA11" s="46"/>
    </row>
    <row r="12" spans="1:27" ht="15.75" customHeight="1" thickTop="1" thickBot="1" x14ac:dyDescent="0.25">
      <c r="A12" s="47" t="s">
        <v>16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07.5%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7" t="str">
        <f t="shared" si="1"/>
        <v>p. val.</v>
      </c>
      <c r="I12" s="47" t="str">
        <f t="shared" si="1"/>
        <v>p.adj.</v>
      </c>
      <c r="J12" s="47" t="str">
        <f t="shared" si="1"/>
        <v>sig.</v>
      </c>
      <c r="M12" s="45"/>
      <c r="N12" s="45"/>
      <c r="O12" s="44"/>
      <c r="P12" s="44"/>
      <c r="V12" s="45"/>
      <c r="W12" s="45"/>
      <c r="X12" s="44"/>
      <c r="Y12" s="44"/>
      <c r="Z12" s="46"/>
      <c r="AA12" s="46"/>
    </row>
    <row r="13" spans="1:27" ht="15.75" customHeight="1" thickTop="1" x14ac:dyDescent="0.2">
      <c r="A13" s="49" t="str">
        <f>A3</f>
        <v>l_f0</v>
      </c>
      <c r="B13" s="49">
        <f>[13]Mode_PA_l_f0_b0!B4</f>
        <v>85.177999999999997</v>
      </c>
      <c r="C13" s="49">
        <f>[13]Mode_PA_l_f0_b0!C4</f>
        <v>81.639854239581595</v>
      </c>
      <c r="D13" s="49">
        <f>[13]Mode_PA_l_f0_b0!D4</f>
        <v>88.716349917043104</v>
      </c>
      <c r="E13" s="50">
        <f>[13]Mode_PA_l_f0_b0!E4</f>
        <v>1.6240000000000001</v>
      </c>
      <c r="F13" s="50">
        <f>[13]Mode_PA_l_f0_b0!F4</f>
        <v>52.45</v>
      </c>
      <c r="G13" s="50">
        <f>[13]Mode_PA_l_f0_b0!G4</f>
        <v>12</v>
      </c>
      <c r="H13" s="61">
        <f>[13]Mode_PA_l_f0_b0!H4</f>
        <v>1.4999999999999999E-15</v>
      </c>
      <c r="I13" s="61">
        <f>[13]Mode_PA_l_f0_b0!I4</f>
        <v>1.1999999999999999E-14</v>
      </c>
      <c r="J13" s="53" t="str">
        <f>[13]Mode_PA_l_f0_b0!J4</f>
        <v>p&lt;0.0001</v>
      </c>
      <c r="M13" s="45"/>
      <c r="N13" s="45"/>
      <c r="O13" s="44"/>
      <c r="P13" s="44"/>
      <c r="V13" s="45"/>
      <c r="W13" s="45"/>
      <c r="X13" s="44"/>
      <c r="Y13" s="44"/>
      <c r="Z13" s="46"/>
      <c r="AA13" s="46"/>
    </row>
    <row r="14" spans="1:27" ht="15.75" customHeight="1" x14ac:dyDescent="0.2">
      <c r="A14" s="54" t="str">
        <f>A4</f>
        <v>h_f0</v>
      </c>
      <c r="B14" s="54">
        <f>[15]Mode_PA_h_f0_b0!B4</f>
        <v>91.29</v>
      </c>
      <c r="C14" s="54">
        <f>[15]Mode_PA_h_f0_b0!C4</f>
        <v>87.250257609612504</v>
      </c>
      <c r="D14" s="54">
        <f>[15]Mode_PA_h_f0_b0!D4</f>
        <v>95.329182144316803</v>
      </c>
      <c r="E14" s="55">
        <f>[15]Mode_PA_h_f0_b0!E4</f>
        <v>1.8049999999999999</v>
      </c>
      <c r="F14" s="55">
        <f>[15]Mode_PA_h_f0_b0!F4</f>
        <v>50.573999999999998</v>
      </c>
      <c r="G14" s="55">
        <f>[15]Mode_PA_h_f0_b0!G4</f>
        <v>9.69</v>
      </c>
      <c r="H14" s="62">
        <f>[15]Mode_PA_h_f0_b0!H4</f>
        <v>4.5999999999999996E-13</v>
      </c>
      <c r="I14" s="62">
        <f>[15]Mode_PA_h_f0_b0!I4</f>
        <v>1.1999999999999999E-12</v>
      </c>
      <c r="J14" s="58" t="str">
        <f>[15]Mode_PA_h_f0_b0!J4</f>
        <v>p&lt;0.0001</v>
      </c>
      <c r="M14" s="45"/>
      <c r="N14" s="45"/>
      <c r="O14" s="44"/>
      <c r="P14" s="44"/>
      <c r="V14" s="45"/>
      <c r="W14" s="45"/>
      <c r="X14" s="44"/>
      <c r="Y14" s="44"/>
      <c r="Z14" s="46"/>
      <c r="AA14" s="46"/>
    </row>
    <row r="15" spans="1:27" ht="15.75" customHeight="1" x14ac:dyDescent="0.2">
      <c r="A15" s="59" t="str">
        <f>A5</f>
        <v>l_t</v>
      </c>
      <c r="B15" s="59">
        <f>[17]Mode_PA_l_t_b0!B4</f>
        <v>69.475999999999999</v>
      </c>
      <c r="C15" s="59">
        <f>[17]Mode_PA_l_t_b0!C4</f>
        <v>47.925440531509501</v>
      </c>
      <c r="D15" s="59">
        <f>[17]Mode_PA_l_t_b0!D4</f>
        <v>91.026647140951795</v>
      </c>
      <c r="E15" s="55">
        <f>[17]Mode_PA_l_t_b0!E4</f>
        <v>9.9280000000000008</v>
      </c>
      <c r="F15" s="55">
        <f>[17]Mode_PA_l_t_b0!F4</f>
        <v>6.9980000000000002</v>
      </c>
      <c r="G15" s="55">
        <f>[17]Mode_PA_l_t_b0!G4</f>
        <v>12.42</v>
      </c>
      <c r="H15" s="63">
        <f>[17]Mode_PA_l_t_b0!H4</f>
        <v>1.2E-5</v>
      </c>
      <c r="I15" s="63">
        <f>[17]Mode_PA_l_t_b0!I4</f>
        <v>2.3E-5</v>
      </c>
      <c r="J15" s="58" t="str">
        <f>[17]Mode_PA_l_t_b0!J4</f>
        <v>p&lt;0.0001</v>
      </c>
      <c r="M15" s="45"/>
      <c r="N15" s="45"/>
      <c r="O15" s="44"/>
      <c r="P15" s="44"/>
      <c r="V15" s="45"/>
      <c r="W15" s="45"/>
      <c r="X15" s="44"/>
      <c r="Y15" s="44"/>
      <c r="Z15" s="46"/>
      <c r="AA15" s="46"/>
    </row>
    <row r="16" spans="1:27" ht="15.75" customHeight="1" thickBot="1" x14ac:dyDescent="0.25">
      <c r="A16" s="59" t="str">
        <f>A6</f>
        <v>h_t</v>
      </c>
      <c r="B16" s="59">
        <f>[19]Mode_PA_h_t_b0!B4</f>
        <v>268.13499999999999</v>
      </c>
      <c r="C16" s="59">
        <f>[19]Mode_PA_h_t_b0!C4</f>
        <v>187.71463745543801</v>
      </c>
      <c r="D16" s="59">
        <f>[19]Mode_PA_h_t_b0!D4</f>
        <v>348.55535531186501</v>
      </c>
      <c r="E16" s="55">
        <f>[19]Mode_PA_h_t_b0!E4</f>
        <v>30.734999999999999</v>
      </c>
      <c r="F16" s="55">
        <f>[19]Mode_PA_h_t_b0!F4</f>
        <v>8.7240000000000002</v>
      </c>
      <c r="G16" s="55">
        <f>[19]Mode_PA_h_t_b0!G4</f>
        <v>4.72</v>
      </c>
      <c r="H16" s="63">
        <f>[19]Mode_PA_h_t_b0!H4</f>
        <v>4.4000000000000002E-4</v>
      </c>
      <c r="I16" s="63">
        <f>[19]Mode_PA_h_t_b0!I4</f>
        <v>5.2999999999999998E-4</v>
      </c>
      <c r="J16" s="58" t="str">
        <f>[19]Mode_PA_h_t_b0!J4</f>
        <v>p&lt;0.001</v>
      </c>
      <c r="M16" s="45"/>
      <c r="N16" s="45"/>
      <c r="O16" s="44"/>
      <c r="P16" s="44"/>
      <c r="V16" s="45"/>
      <c r="W16" s="45"/>
      <c r="X16" s="44"/>
      <c r="Y16" s="44"/>
      <c r="Z16" s="46"/>
      <c r="AA16" s="46"/>
    </row>
    <row r="17" spans="1:27" ht="15.75" customHeight="1" thickTop="1" thickBot="1" x14ac:dyDescent="0.25">
      <c r="A17" s="47" t="s">
        <v>17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07.5%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7" t="str">
        <f t="shared" si="2"/>
        <v>p. val.</v>
      </c>
      <c r="I17" s="47" t="str">
        <f t="shared" si="2"/>
        <v>p.adj.</v>
      </c>
      <c r="J17" s="47" t="str">
        <f t="shared" si="2"/>
        <v>sig.</v>
      </c>
      <c r="M17" s="45"/>
      <c r="N17" s="45"/>
      <c r="O17" s="44"/>
      <c r="P17" s="44"/>
      <c r="V17" s="45"/>
      <c r="W17" s="45"/>
      <c r="X17" s="44"/>
      <c r="Y17" s="44"/>
      <c r="Z17" s="46"/>
      <c r="AA17" s="46"/>
    </row>
    <row r="18" spans="1:27" ht="15.75" customHeight="1" thickTop="1" x14ac:dyDescent="0.2">
      <c r="A18" s="49" t="str">
        <f>A3</f>
        <v>l_f0</v>
      </c>
      <c r="B18" s="49">
        <f>[13]Mode_PA_l_f0_b0!B5</f>
        <v>85.031999999999996</v>
      </c>
      <c r="C18" s="49">
        <f>[13]Mode_PA_l_f0_b0!C5</f>
        <v>81.489369407447299</v>
      </c>
      <c r="D18" s="49">
        <f>[13]Mode_PA_l_f0_b0!D5</f>
        <v>88.574801692886098</v>
      </c>
      <c r="E18" s="50">
        <f>[13]Mode_PA_l_f0_b0!E5</f>
        <v>1.6279999999999999</v>
      </c>
      <c r="F18" s="50">
        <f>[13]Mode_PA_l_f0_b0!F5</f>
        <v>52.24</v>
      </c>
      <c r="G18" s="50">
        <f>[13]Mode_PA_l_f0_b0!G5</f>
        <v>12.12</v>
      </c>
      <c r="H18" s="61">
        <f>[13]Mode_PA_l_f0_b0!H5</f>
        <v>1.2E-15</v>
      </c>
      <c r="I18" s="64">
        <f>[13]Mode_PA_l_f0_b0!I5</f>
        <v>1.1999999999999999E-14</v>
      </c>
      <c r="J18" s="53" t="str">
        <f>[13]Mode_PA_l_f0_b0!J5</f>
        <v>p&lt;0.0001</v>
      </c>
      <c r="M18" s="45"/>
      <c r="N18" s="45"/>
      <c r="O18" s="44"/>
      <c r="P18" s="44"/>
      <c r="V18" s="45"/>
      <c r="W18" s="45"/>
      <c r="X18" s="44"/>
      <c r="Y18" s="44"/>
      <c r="Z18" s="46"/>
      <c r="AA18" s="46"/>
    </row>
    <row r="19" spans="1:27" ht="15.75" customHeight="1" x14ac:dyDescent="0.2">
      <c r="A19" s="54" t="str">
        <f>A4</f>
        <v>h_f0</v>
      </c>
      <c r="B19" s="54">
        <f>[15]Mode_PA_h_f0_b0!B5</f>
        <v>92.46</v>
      </c>
      <c r="C19" s="54">
        <f>[15]Mode_PA_h_f0_b0!C5</f>
        <v>88.416665374418102</v>
      </c>
      <c r="D19" s="54">
        <f>[15]Mode_PA_h_f0_b0!D5</f>
        <v>96.504310766312699</v>
      </c>
      <c r="E19" s="55">
        <f>[15]Mode_PA_h_f0_b0!E5</f>
        <v>1.81</v>
      </c>
      <c r="F19" s="55">
        <f>[15]Mode_PA_h_f0_b0!F5</f>
        <v>51.093000000000004</v>
      </c>
      <c r="G19" s="55">
        <f>[15]Mode_PA_h_f0_b0!G5</f>
        <v>9.7899999999999991</v>
      </c>
      <c r="H19" s="62">
        <f>[15]Mode_PA_h_f0_b0!H5</f>
        <v>3.3000000000000001E-13</v>
      </c>
      <c r="I19" s="63">
        <f>[15]Mode_PA_h_f0_b0!I5</f>
        <v>8.7999999999999999E-13</v>
      </c>
      <c r="J19" s="58" t="str">
        <f>[15]Mode_PA_h_f0_b0!J5</f>
        <v>p&lt;0.0001</v>
      </c>
      <c r="M19" s="45"/>
      <c r="N19" s="45"/>
      <c r="O19" s="44"/>
      <c r="P19" s="44"/>
      <c r="V19" s="45"/>
      <c r="W19" s="45"/>
      <c r="X19" s="44"/>
      <c r="Y19" s="44"/>
      <c r="Z19" s="46"/>
      <c r="AA19" s="46"/>
    </row>
    <row r="20" spans="1:27" ht="15.75" customHeight="1" x14ac:dyDescent="0.2">
      <c r="A20" s="59" t="str">
        <f>A5</f>
        <v>l_t</v>
      </c>
      <c r="B20" s="59">
        <f>[17]Mode_PA_l_t_b0!B5</f>
        <v>47.040999999999997</v>
      </c>
      <c r="C20" s="59">
        <f>[17]Mode_PA_l_t_b0!C5</f>
        <v>25.381162659949101</v>
      </c>
      <c r="D20" s="59">
        <f>[17]Mode_PA_l_t_b0!D5</f>
        <v>68.701789806570204</v>
      </c>
      <c r="E20" s="55">
        <f>[17]Mode_PA_l_t_b0!E5</f>
        <v>10.022</v>
      </c>
      <c r="F20" s="55">
        <f>[17]Mode_PA_l_t_b0!F5</f>
        <v>4.694</v>
      </c>
      <c r="G20" s="55">
        <f>[17]Mode_PA_l_t_b0!G5</f>
        <v>12.95</v>
      </c>
      <c r="H20" s="62">
        <f>[17]Mode_PA_l_t_b0!H5</f>
        <v>4.2000000000000002E-4</v>
      </c>
      <c r="I20" s="63">
        <f>[17]Mode_PA_l_t_b0!I5</f>
        <v>5.2999999999999998E-4</v>
      </c>
      <c r="J20" s="58" t="str">
        <f>[17]Mode_PA_l_t_b0!J5</f>
        <v>p&lt;0.001</v>
      </c>
      <c r="M20" s="45"/>
      <c r="N20" s="45"/>
      <c r="O20" s="44"/>
      <c r="P20" s="44"/>
      <c r="V20" s="45"/>
      <c r="W20" s="45"/>
      <c r="X20" s="44"/>
      <c r="Y20" s="44"/>
      <c r="Z20" s="46"/>
      <c r="AA20" s="46"/>
    </row>
    <row r="21" spans="1:27" ht="15.75" customHeight="1" x14ac:dyDescent="0.2">
      <c r="A21" s="59" t="str">
        <f>A6</f>
        <v>h_t</v>
      </c>
      <c r="B21" s="59">
        <f>[19]Mode_PA_h_t_b0!B5</f>
        <v>252.32</v>
      </c>
      <c r="C21" s="59">
        <f>[19]Mode_PA_h_t_b0!C5</f>
        <v>171.946315419135</v>
      </c>
      <c r="D21" s="59">
        <f>[19]Mode_PA_h_t_b0!D5</f>
        <v>332.69422810108699</v>
      </c>
      <c r="E21" s="55">
        <f>[19]Mode_PA_h_t_b0!E5</f>
        <v>30.795000000000002</v>
      </c>
      <c r="F21" s="55">
        <f>[19]Mode_PA_h_t_b0!F5</f>
        <v>8.1940000000000008</v>
      </c>
      <c r="G21" s="55">
        <f>[19]Mode_PA_h_t_b0!G5</f>
        <v>4.76</v>
      </c>
      <c r="H21" s="63">
        <f>[19]Mode_PA_h_t_b0!H5</f>
        <v>5.5999999999999995E-4</v>
      </c>
      <c r="I21" s="63">
        <f>[19]Mode_PA_h_t_b0!I5</f>
        <v>6.4000000000000005E-4</v>
      </c>
      <c r="J21" s="58" t="str">
        <f>[19]Mode_PA_h_t_b0!J5</f>
        <v>p&lt;0.001</v>
      </c>
      <c r="M21" s="45"/>
      <c r="N21" s="45"/>
      <c r="O21" s="44"/>
      <c r="P21" s="44"/>
      <c r="V21" s="45"/>
      <c r="W21" s="45"/>
      <c r="X21" s="44"/>
      <c r="Y21" s="44"/>
      <c r="Z21" s="46"/>
      <c r="AA21" s="46"/>
    </row>
    <row r="23" spans="1:27" ht="26.25" x14ac:dyDescent="0.2">
      <c r="A23" s="1" t="s">
        <v>10</v>
      </c>
      <c r="B23" s="5"/>
      <c r="C23" s="5"/>
      <c r="D23" s="5"/>
      <c r="E23" s="5"/>
      <c r="F23" s="24"/>
      <c r="G23" s="24"/>
      <c r="H23" s="46"/>
    </row>
    <row r="24" spans="1:27" ht="15" x14ac:dyDescent="0.2">
      <c r="A24" s="2" t="s">
        <v>0</v>
      </c>
      <c r="B24" s="6" t="s">
        <v>1</v>
      </c>
      <c r="C24" s="8" t="s">
        <v>7</v>
      </c>
      <c r="D24" s="8" t="s">
        <v>8</v>
      </c>
      <c r="E24" s="8" t="s">
        <v>5</v>
      </c>
      <c r="F24" s="8" t="s">
        <v>22</v>
      </c>
      <c r="G24" s="26"/>
      <c r="H24" s="46"/>
      <c r="V24" s="46"/>
      <c r="W24" s="46"/>
      <c r="X24" s="46"/>
      <c r="Y24" s="46"/>
      <c r="Z24" s="46"/>
      <c r="AA24" s="46"/>
    </row>
    <row r="25" spans="1:27" ht="15" x14ac:dyDescent="0.2">
      <c r="A25" s="11" t="s">
        <v>14</v>
      </c>
      <c r="B25" s="12">
        <f>[17]Mode_PA_l_t_b0!B2</f>
        <v>67.408000000000001</v>
      </c>
      <c r="C25" s="30">
        <f>[17]Mode_PA_l_t_b0!C2</f>
        <v>45.906075043170702</v>
      </c>
      <c r="D25" s="30">
        <f>[17]Mode_PA_l_t_b0!D2</f>
        <v>88.909427524989596</v>
      </c>
      <c r="E25" s="30">
        <f>[17]Mode_PA_l_t_b0!E2</f>
        <v>9.8879999999999999</v>
      </c>
      <c r="F25" s="10">
        <f>Table5[[#This Row],[Estimates]]-Table5[[#This Row],[2.5% CI]]</f>
        <v>21.501924956829299</v>
      </c>
      <c r="G25" s="31"/>
      <c r="H25" s="46"/>
    </row>
    <row r="26" spans="1:27" ht="15" x14ac:dyDescent="0.2">
      <c r="A26" s="11" t="s">
        <v>15</v>
      </c>
      <c r="B26" s="12">
        <f>[17]Mode_PA_l_t_b0!B3</f>
        <v>67.731999999999999</v>
      </c>
      <c r="C26" s="30">
        <f>[17]Mode_PA_l_t_b0!C3</f>
        <v>46.229535903865603</v>
      </c>
      <c r="D26" s="30">
        <f>[17]Mode_PA_l_t_b0!D3</f>
        <v>89.235346654396906</v>
      </c>
      <c r="E26" s="30">
        <f>[17]Mode_PA_l_t_b0!E3</f>
        <v>9.8889999999999993</v>
      </c>
      <c r="F26" s="33">
        <f>Table5[[#This Row],[Estimates]]-Table5[[#This Row],[2.5% CI]]</f>
        <v>21.502464096134396</v>
      </c>
      <c r="G26" s="31"/>
      <c r="H26" s="46"/>
    </row>
    <row r="27" spans="1:27" ht="15" x14ac:dyDescent="0.2">
      <c r="A27" s="11" t="s">
        <v>16</v>
      </c>
      <c r="B27" s="12">
        <f>[17]Mode_PA_l_t_b0!B4</f>
        <v>69.475999999999999</v>
      </c>
      <c r="C27" s="30">
        <f>[17]Mode_PA_l_t_b0!C4</f>
        <v>47.925440531509501</v>
      </c>
      <c r="D27" s="30">
        <f>[17]Mode_PA_l_t_b0!D4</f>
        <v>91.026647140951795</v>
      </c>
      <c r="E27" s="30">
        <f>[17]Mode_PA_l_t_b0!E4</f>
        <v>9.9280000000000008</v>
      </c>
      <c r="F27" s="33">
        <f>Table5[[#This Row],[Estimates]]-Table5[[#This Row],[2.5% CI]]</f>
        <v>21.550559468490498</v>
      </c>
      <c r="G27" s="31"/>
      <c r="H27" s="46"/>
    </row>
    <row r="28" spans="1:27" ht="15" x14ac:dyDescent="0.2">
      <c r="A28" s="11" t="s">
        <v>17</v>
      </c>
      <c r="B28" s="16">
        <f>[17]Mode_PA_l_t_b0!B5</f>
        <v>47.040999999999997</v>
      </c>
      <c r="C28" s="30">
        <f>[17]Mode_PA_l_t_b0!C5</f>
        <v>25.381162659949101</v>
      </c>
      <c r="D28" s="30">
        <f>[17]Mode_PA_l_t_b0!D5</f>
        <v>68.701789806570204</v>
      </c>
      <c r="E28" s="30">
        <f>[17]Mode_PA_l_t_b0!E5</f>
        <v>10.022</v>
      </c>
      <c r="F28" s="33">
        <f>Table5[[#This Row],[Estimates]]-Table5[[#This Row],[2.5% CI]]</f>
        <v>21.659837340050895</v>
      </c>
      <c r="G28" s="31"/>
      <c r="H28" s="46"/>
    </row>
    <row r="29" spans="1:27" ht="15" x14ac:dyDescent="0.2">
      <c r="A29" s="11" t="s">
        <v>23</v>
      </c>
      <c r="B29" s="12">
        <f>[17]Mode_PA_l_t_b0!B6</f>
        <v>67.408000000000001</v>
      </c>
      <c r="C29" s="30">
        <f>[17]Mode_PA_l_t_b0!C6</f>
        <v>45.906075043170702</v>
      </c>
      <c r="D29" s="30">
        <f>[17]Mode_PA_l_t_b0!D6</f>
        <v>88.909427524989596</v>
      </c>
      <c r="E29" s="30">
        <f>[17]Mode_PA_l_t_b0!E6</f>
        <v>9.8879999999999999</v>
      </c>
      <c r="F29" s="33">
        <f>Table5[[#This Row],[Estimates]]-Table5[[#This Row],[2.5% CI]]</f>
        <v>21.501924956829299</v>
      </c>
      <c r="G29" s="31"/>
      <c r="H29" s="46"/>
    </row>
    <row r="30" spans="1:27" ht="15" x14ac:dyDescent="0.2">
      <c r="A30" s="11" t="s">
        <v>24</v>
      </c>
      <c r="B30" s="12">
        <f>[17]Mode_PA_l_t_b0!B7</f>
        <v>81.248999999999995</v>
      </c>
      <c r="C30" s="30">
        <f>[17]Mode_PA_l_t_b0!C7</f>
        <v>51.745674146421401</v>
      </c>
      <c r="D30" s="30">
        <f>[17]Mode_PA_l_t_b0!D7</f>
        <v>110.7528902249</v>
      </c>
      <c r="E30" s="30">
        <f>[17]Mode_PA_l_t_b0!E7</f>
        <v>14.737</v>
      </c>
      <c r="F30" s="33">
        <f>Table5[[#This Row],[Estimates]]-Table5[[#This Row],[2.5% CI]]</f>
        <v>29.503325853578595</v>
      </c>
      <c r="G30" s="31"/>
      <c r="H30" s="46"/>
    </row>
    <row r="31" spans="1:27" ht="15" x14ac:dyDescent="0.2">
      <c r="A31" s="11" t="s">
        <v>25</v>
      </c>
      <c r="B31" s="12">
        <f>[17]Mode_PA_l_t_b0!B8</f>
        <v>63.344000000000001</v>
      </c>
      <c r="C31" s="30">
        <f>[17]Mode_PA_l_t_b0!C8</f>
        <v>40.548764552006098</v>
      </c>
      <c r="D31" s="30">
        <f>[17]Mode_PA_l_t_b0!D8</f>
        <v>86.140197086469001</v>
      </c>
      <c r="E31" s="30">
        <f>[17]Mode_PA_l_t_b0!E8</f>
        <v>10.831</v>
      </c>
      <c r="F31" s="33">
        <f>Table5[[#This Row],[Estimates]]-Table5[[#This Row],[2.5% CI]]</f>
        <v>22.795235447993903</v>
      </c>
      <c r="G31" s="31"/>
      <c r="H31" s="46"/>
    </row>
    <row r="32" spans="1:27" ht="15" x14ac:dyDescent="0.2">
      <c r="A32" s="18" t="s">
        <v>26</v>
      </c>
      <c r="B32" s="16">
        <f>[17]Mode_PA_l_t_b0!B9</f>
        <v>65.388999999999996</v>
      </c>
      <c r="C32" s="34">
        <f>[17]Mode_PA_l_t_b0!C9</f>
        <v>43.096406186970398</v>
      </c>
      <c r="D32" s="34">
        <f>[17]Mode_PA_l_t_b0!D9</f>
        <v>87.6806831178435</v>
      </c>
      <c r="E32" s="34">
        <f>[17]Mode_PA_l_t_b0!E9</f>
        <v>10.481</v>
      </c>
      <c r="F32" s="35">
        <f>Table5[[#This Row],[Estimates]]-Table5[[#This Row],[2.5% CI]]</f>
        <v>22.292593813029598</v>
      </c>
      <c r="G32" s="31"/>
      <c r="H32" s="46"/>
    </row>
    <row r="33" spans="1:8" ht="15" x14ac:dyDescent="0.2">
      <c r="A33" s="20"/>
      <c r="B33" s="21"/>
      <c r="C33" s="36"/>
      <c r="D33" s="36"/>
      <c r="E33" s="36"/>
      <c r="F33" s="37"/>
      <c r="G33" s="37"/>
      <c r="H33" s="46"/>
    </row>
    <row r="34" spans="1:8" ht="26.25" x14ac:dyDescent="0.2">
      <c r="A34" s="1" t="s">
        <v>11</v>
      </c>
      <c r="B34" s="1"/>
      <c r="C34" s="25"/>
      <c r="D34" s="25"/>
      <c r="E34" s="25"/>
      <c r="F34" s="24"/>
      <c r="G34" s="24"/>
      <c r="H34" s="46"/>
    </row>
    <row r="35" spans="1:8" ht="15" x14ac:dyDescent="0.2">
      <c r="A35" s="2" t="s">
        <v>0</v>
      </c>
      <c r="B35" s="6" t="s">
        <v>1</v>
      </c>
      <c r="C35" s="28" t="s">
        <v>7</v>
      </c>
      <c r="D35" s="28" t="s">
        <v>8</v>
      </c>
      <c r="E35" s="28" t="s">
        <v>5</v>
      </c>
      <c r="F35" s="8" t="s">
        <v>22</v>
      </c>
      <c r="G35" s="26"/>
      <c r="H35" s="46"/>
    </row>
    <row r="36" spans="1:8" ht="15" x14ac:dyDescent="0.2">
      <c r="A36" s="11" t="str">
        <f t="shared" ref="A36:A43" si="3">A25</f>
        <v>MDC</v>
      </c>
      <c r="B36" s="12">
        <f>[19]Mode_PA_h_t_b0!B2</f>
        <v>268.214</v>
      </c>
      <c r="C36" s="14">
        <f>[19]Mode_PA_h_t_b0!C2</f>
        <v>187.77360112485999</v>
      </c>
      <c r="D36" s="14">
        <f>[19]Mode_PA_h_t_b0!D2</f>
        <v>348.655341966148</v>
      </c>
      <c r="E36" s="14">
        <f>[19]Mode_PA_h_t_b0!E2</f>
        <v>30.707999999999998</v>
      </c>
      <c r="F36" s="38">
        <f>Table6[[#This Row],[Estimates]]-Table6[[#This Row],[2.5% CI]]</f>
        <v>80.440398875140005</v>
      </c>
      <c r="G36" s="31"/>
      <c r="H36" s="46"/>
    </row>
    <row r="37" spans="1:8" ht="15" x14ac:dyDescent="0.2">
      <c r="A37" s="11" t="str">
        <f t="shared" si="3"/>
        <v>MWH</v>
      </c>
      <c r="B37" s="12">
        <f>[19]Mode_PA_h_t_b0!B3</f>
        <v>267.76299999999998</v>
      </c>
      <c r="C37" s="14">
        <f>[19]Mode_PA_h_t_b0!C3</f>
        <v>187.32325202228199</v>
      </c>
      <c r="D37" s="14">
        <f>[19]Mode_PA_h_t_b0!D3</f>
        <v>348.20302685774101</v>
      </c>
      <c r="E37" s="14">
        <f>[19]Mode_PA_h_t_b0!E3</f>
        <v>30.709</v>
      </c>
      <c r="F37" s="39">
        <f>Table6[[#This Row],[Estimates]]-Table6[[#This Row],[2.5% CI]]</f>
        <v>80.439747977717985</v>
      </c>
      <c r="G37" s="31"/>
      <c r="H37" s="46"/>
    </row>
    <row r="38" spans="1:8" ht="15" x14ac:dyDescent="0.2">
      <c r="A38" s="11" t="str">
        <f t="shared" si="3"/>
        <v>MYN</v>
      </c>
      <c r="B38" s="12">
        <f>[19]Mode_PA_h_t_b0!B4</f>
        <v>268.13499999999999</v>
      </c>
      <c r="C38" s="14">
        <f>[19]Mode_PA_h_t_b0!C4</f>
        <v>187.71463745543801</v>
      </c>
      <c r="D38" s="14">
        <f>[19]Mode_PA_h_t_b0!D4</f>
        <v>348.55535531186501</v>
      </c>
      <c r="E38" s="14">
        <f>[19]Mode_PA_h_t_b0!E4</f>
        <v>30.734999999999999</v>
      </c>
      <c r="F38" s="39">
        <f>Table6[[#This Row],[Estimates]]-Table6[[#This Row],[2.5% CI]]</f>
        <v>80.420362544561982</v>
      </c>
      <c r="G38" s="31"/>
      <c r="H38" s="46"/>
    </row>
    <row r="39" spans="1:8" ht="15" x14ac:dyDescent="0.2">
      <c r="A39" s="11" t="str">
        <f t="shared" si="3"/>
        <v>MDQ</v>
      </c>
      <c r="B39" s="16">
        <f>[19]Mode_PA_h_t_b0!B5</f>
        <v>252.32</v>
      </c>
      <c r="C39" s="14">
        <f>[19]Mode_PA_h_t_b0!C5</f>
        <v>171.946315419135</v>
      </c>
      <c r="D39" s="14">
        <f>[19]Mode_PA_h_t_b0!D5</f>
        <v>332.69422810108699</v>
      </c>
      <c r="E39" s="14">
        <f>[19]Mode_PA_h_t_b0!E5</f>
        <v>30.795000000000002</v>
      </c>
      <c r="F39" s="39">
        <f>Table6[[#This Row],[Estimates]]-Table6[[#This Row],[2.5% CI]]</f>
        <v>80.373684580864989</v>
      </c>
      <c r="G39" s="31"/>
      <c r="H39" s="46"/>
    </row>
    <row r="40" spans="1:8" ht="15" x14ac:dyDescent="0.2">
      <c r="A40" s="11" t="str">
        <f t="shared" si="3"/>
        <v>L*H</v>
      </c>
      <c r="B40" s="12">
        <f>[19]Mode_PA_h_t_b0!B6</f>
        <v>268.214</v>
      </c>
      <c r="C40" s="14">
        <f>[19]Mode_PA_h_t_b0!C6</f>
        <v>187.77360112485999</v>
      </c>
      <c r="D40" s="14">
        <f>[19]Mode_PA_h_t_b0!D6</f>
        <v>348.655341966148</v>
      </c>
      <c r="E40" s="14">
        <f>[19]Mode_PA_h_t_b0!E6</f>
        <v>30.707999999999998</v>
      </c>
      <c r="F40" s="39">
        <f>Table6[[#This Row],[Estimates]]-Table6[[#This Row],[2.5% CI]]</f>
        <v>80.440398875140005</v>
      </c>
      <c r="G40" s="32"/>
      <c r="H40" s="46"/>
    </row>
    <row r="41" spans="1:8" ht="15" x14ac:dyDescent="0.2">
      <c r="A41" s="11" t="str">
        <f t="shared" si="3"/>
        <v>^[L*]H</v>
      </c>
      <c r="B41" s="12">
        <f>[19]Mode_PA_h_t_b0!B7</f>
        <v>218.333</v>
      </c>
      <c r="C41" s="14">
        <f>[19]Mode_PA_h_t_b0!C7</f>
        <v>137.65678545155001</v>
      </c>
      <c r="D41" s="14">
        <f>[19]Mode_PA_h_t_b0!D7</f>
        <v>299.00823125467798</v>
      </c>
      <c r="E41" s="14">
        <f>[19]Mode_PA_h_t_b0!E7</f>
        <v>34.774000000000001</v>
      </c>
      <c r="F41" s="39">
        <f>Table6[[#This Row],[Estimates]]-Table6[[#This Row],[2.5% CI]]</f>
        <v>80.676214548449991</v>
      </c>
      <c r="G41" s="31"/>
      <c r="H41" s="46"/>
    </row>
    <row r="42" spans="1:8" ht="15" x14ac:dyDescent="0.2">
      <c r="A42" s="11" t="str">
        <f t="shared" si="3"/>
        <v>L*^[H]</v>
      </c>
      <c r="B42" s="12">
        <f>[19]Mode_PA_h_t_b0!B8</f>
        <v>267.35399999999998</v>
      </c>
      <c r="C42" s="14">
        <f>[19]Mode_PA_h_t_b0!C8</f>
        <v>187.31944529171901</v>
      </c>
      <c r="D42" s="14">
        <f>[19]Mode_PA_h_t_b0!D8</f>
        <v>347.38760276514603</v>
      </c>
      <c r="E42" s="14">
        <f>[19]Mode_PA_h_t_b0!E8</f>
        <v>31.405000000000001</v>
      </c>
      <c r="F42" s="39">
        <f>Table6[[#This Row],[Estimates]]-Table6[[#This Row],[2.5% CI]]</f>
        <v>80.034554708280979</v>
      </c>
      <c r="G42" s="31"/>
      <c r="H42" s="46"/>
    </row>
    <row r="43" spans="1:8" ht="15" x14ac:dyDescent="0.2">
      <c r="A43" s="11" t="str">
        <f t="shared" si="3"/>
        <v>^[L*H]</v>
      </c>
      <c r="B43" s="16">
        <f>[19]Mode_PA_h_t_b0!B9</f>
        <v>267.60899999999998</v>
      </c>
      <c r="C43" s="19">
        <f>[19]Mode_PA_h_t_b0!C9</f>
        <v>187.45073539710501</v>
      </c>
      <c r="D43" s="19">
        <f>[19]Mode_PA_h_t_b0!D9</f>
        <v>347.76631975450999</v>
      </c>
      <c r="E43" s="19">
        <f>[19]Mode_PA_h_t_b0!E9</f>
        <v>31.145</v>
      </c>
      <c r="F43" s="40">
        <f>Table6[[#This Row],[Estimates]]-Table6[[#This Row],[2.5% CI]]</f>
        <v>80.158264602894974</v>
      </c>
      <c r="G43" s="31"/>
      <c r="H43" s="46"/>
    </row>
    <row r="45" spans="1:8" ht="30.75" x14ac:dyDescent="0.2">
      <c r="A45" s="1" t="s">
        <v>12</v>
      </c>
      <c r="B45" s="5"/>
      <c r="C45" s="4"/>
      <c r="D45" s="5"/>
      <c r="E45" s="5"/>
      <c r="F45" s="5"/>
      <c r="G45" s="5"/>
    </row>
    <row r="46" spans="1:8" ht="15" x14ac:dyDescent="0.2">
      <c r="A46" s="9" t="s">
        <v>0</v>
      </c>
      <c r="B46" s="6" t="s">
        <v>1</v>
      </c>
      <c r="C46" s="8" t="s">
        <v>7</v>
      </c>
      <c r="D46" s="8" t="s">
        <v>8</v>
      </c>
      <c r="E46" s="8" t="s">
        <v>5</v>
      </c>
      <c r="F46" s="8" t="s">
        <v>22</v>
      </c>
      <c r="G46" s="26"/>
    </row>
    <row r="47" spans="1:8" ht="15" x14ac:dyDescent="0.2">
      <c r="A47" s="11" t="str">
        <f t="shared" ref="A47:A54" si="4">A36</f>
        <v>MDC</v>
      </c>
      <c r="B47" s="13">
        <f>[13]Mode_PA_l_f0_b0!B2</f>
        <v>83.99</v>
      </c>
      <c r="C47" s="14">
        <f>[13]Mode_PA_l_f0_b0!C2</f>
        <v>80.453351074980304</v>
      </c>
      <c r="D47" s="14">
        <f>[13]Mode_PA_l_f0_b0!D2</f>
        <v>87.527230630068203</v>
      </c>
      <c r="E47" s="14">
        <f>[13]Mode_PA_l_f0_b0!E2</f>
        <v>1.623</v>
      </c>
      <c r="F47" s="15">
        <f>Table1[[#This Row],[Estimates]]-Table1[[#This Row],[2.5% CI]]</f>
        <v>3.5366489250196906</v>
      </c>
      <c r="G47" s="31"/>
    </row>
    <row r="48" spans="1:8" ht="15" x14ac:dyDescent="0.2">
      <c r="A48" s="11" t="str">
        <f t="shared" si="4"/>
        <v>MWH</v>
      </c>
      <c r="B48" s="13">
        <f>[13]Mode_PA_l_f0_b0!B3</f>
        <v>84.075999999999993</v>
      </c>
      <c r="C48" s="14">
        <f>[13]Mode_PA_l_f0_b0!C3</f>
        <v>80.539039447165607</v>
      </c>
      <c r="D48" s="14">
        <f>[13]Mode_PA_l_f0_b0!D3</f>
        <v>87.613137543283798</v>
      </c>
      <c r="E48" s="14">
        <f>[13]Mode_PA_l_f0_b0!E3</f>
        <v>1.623</v>
      </c>
      <c r="F48" s="14">
        <f>Table1[[#This Row],[Estimates]]-Table1[[#This Row],[2.5% CI]]</f>
        <v>3.5369605528343868</v>
      </c>
      <c r="G48" s="31"/>
    </row>
    <row r="49" spans="1:7" ht="15" x14ac:dyDescent="0.2">
      <c r="A49" s="11" t="str">
        <f t="shared" si="4"/>
        <v>MYN</v>
      </c>
      <c r="B49" s="13">
        <f>[13]Mode_PA_l_f0_b0!B4</f>
        <v>85.177999999999997</v>
      </c>
      <c r="C49" s="14">
        <f>[13]Mode_PA_l_f0_b0!C4</f>
        <v>81.639854239581595</v>
      </c>
      <c r="D49" s="14">
        <f>[13]Mode_PA_l_f0_b0!D4</f>
        <v>88.716349917043104</v>
      </c>
      <c r="E49" s="14">
        <f>[13]Mode_PA_l_f0_b0!E4</f>
        <v>1.6240000000000001</v>
      </c>
      <c r="F49" s="14">
        <f>Table1[[#This Row],[Estimates]]-Table1[[#This Row],[2.5% CI]]</f>
        <v>3.5381457604184021</v>
      </c>
      <c r="G49" s="31"/>
    </row>
    <row r="50" spans="1:7" ht="15" x14ac:dyDescent="0.2">
      <c r="A50" s="11" t="str">
        <f t="shared" si="4"/>
        <v>MDQ</v>
      </c>
      <c r="B50" s="17">
        <f>[13]Mode_PA_l_f0_b0!B5</f>
        <v>85.031999999999996</v>
      </c>
      <c r="C50" s="14">
        <f>[13]Mode_PA_l_f0_b0!C5</f>
        <v>81.489369407447299</v>
      </c>
      <c r="D50" s="14">
        <f>[13]Mode_PA_l_f0_b0!D5</f>
        <v>88.574801692886098</v>
      </c>
      <c r="E50" s="14">
        <f>[13]Mode_PA_l_f0_b0!E5</f>
        <v>1.6279999999999999</v>
      </c>
      <c r="F50" s="14">
        <f>Table1[[#This Row],[Estimates]]-Table1[[#This Row],[2.5% CI]]</f>
        <v>3.5426305925526975</v>
      </c>
      <c r="G50" s="31"/>
    </row>
    <row r="51" spans="1:7" ht="15" x14ac:dyDescent="0.2">
      <c r="A51" s="11" t="str">
        <f t="shared" si="4"/>
        <v>L*H</v>
      </c>
      <c r="B51" s="13">
        <f>[13]Mode_PA_l_f0_b0!B6</f>
        <v>83.99</v>
      </c>
      <c r="C51" s="14">
        <f>[13]Mode_PA_l_f0_b0!C6</f>
        <v>80.453351074980304</v>
      </c>
      <c r="D51" s="14">
        <f>[13]Mode_PA_l_f0_b0!D6</f>
        <v>87.527230630068203</v>
      </c>
      <c r="E51" s="14">
        <f>[13]Mode_PA_l_f0_b0!E6</f>
        <v>1.623</v>
      </c>
      <c r="F51" s="14">
        <f>Table1[[#This Row],[Estimates]]-Table1[[#This Row],[2.5% CI]]</f>
        <v>3.5366489250196906</v>
      </c>
      <c r="G51" s="31"/>
    </row>
    <row r="52" spans="1:7" ht="15" x14ac:dyDescent="0.2">
      <c r="A52" s="11" t="str">
        <f t="shared" si="4"/>
        <v>^[L*]H</v>
      </c>
      <c r="B52" s="13">
        <f>[13]Mode_PA_l_f0_b0!B7</f>
        <v>86.87</v>
      </c>
      <c r="C52" s="14">
        <f>[13]Mode_PA_l_f0_b0!C7</f>
        <v>83.113022861423701</v>
      </c>
      <c r="D52" s="14">
        <f>[13]Mode_PA_l_f0_b0!D7</f>
        <v>90.627605751172297</v>
      </c>
      <c r="E52" s="14">
        <f>[13]Mode_PA_l_f0_b0!E7</f>
        <v>1.7849999999999999</v>
      </c>
      <c r="F52" s="14">
        <f>Table1[[#This Row],[Estimates]]-Table1[[#This Row],[2.5% CI]]</f>
        <v>3.7569771385763033</v>
      </c>
      <c r="G52" s="31"/>
    </row>
    <row r="53" spans="1:7" ht="15" x14ac:dyDescent="0.2">
      <c r="A53" s="11" t="str">
        <f t="shared" si="4"/>
        <v>L*^[H]</v>
      </c>
      <c r="B53" s="13">
        <f>[13]Mode_PA_l_f0_b0!B8</f>
        <v>84.706999999999994</v>
      </c>
      <c r="C53" s="14">
        <f>[13]Mode_PA_l_f0_b0!C8</f>
        <v>81.133638575482294</v>
      </c>
      <c r="D53" s="14">
        <f>[13]Mode_PA_l_f0_b0!D8</f>
        <v>88.279591427499099</v>
      </c>
      <c r="E53" s="14">
        <f>[13]Mode_PA_l_f0_b0!E8</f>
        <v>1.6519999999999999</v>
      </c>
      <c r="F53" s="14">
        <f>Table1[[#This Row],[Estimates]]-Table1[[#This Row],[2.5% CI]]</f>
        <v>3.5733614245176994</v>
      </c>
      <c r="G53" s="31"/>
    </row>
    <row r="54" spans="1:7" ht="15" x14ac:dyDescent="0.2">
      <c r="A54" s="11" t="str">
        <f t="shared" si="4"/>
        <v>^[L*H]</v>
      </c>
      <c r="B54" s="17">
        <f>[13]Mode_PA_l_f0_b0!B9</f>
        <v>86.724000000000004</v>
      </c>
      <c r="C54" s="19">
        <f>[13]Mode_PA_l_f0_b0!C9</f>
        <v>83.164863235291506</v>
      </c>
      <c r="D54" s="19">
        <f>[13]Mode_PA_l_f0_b0!D9</f>
        <v>90.282187472808502</v>
      </c>
      <c r="E54" s="19">
        <f>[13]Mode_PA_l_f0_b0!E9</f>
        <v>1.641</v>
      </c>
      <c r="F54" s="19">
        <f>Table1[[#This Row],[Estimates]]-Table1[[#This Row],[2.5% CI]]</f>
        <v>3.5591367647084979</v>
      </c>
      <c r="G54" s="31"/>
    </row>
    <row r="55" spans="1:7" ht="15" x14ac:dyDescent="0.2">
      <c r="A55" s="37"/>
      <c r="B55" s="31"/>
      <c r="C55" s="20"/>
      <c r="D55" s="22"/>
      <c r="E55" s="23"/>
      <c r="F55" s="23"/>
      <c r="G55" s="23"/>
    </row>
    <row r="56" spans="1:7" ht="30.75" x14ac:dyDescent="0.2">
      <c r="A56" s="1" t="s">
        <v>13</v>
      </c>
      <c r="B56" s="3"/>
      <c r="C56" s="4"/>
      <c r="D56" s="27"/>
      <c r="E56" s="25"/>
      <c r="F56" s="25"/>
      <c r="G56" s="25"/>
    </row>
    <row r="57" spans="1:7" ht="15" x14ac:dyDescent="0.2">
      <c r="A57" s="2" t="s">
        <v>0</v>
      </c>
      <c r="B57" s="29" t="s">
        <v>1</v>
      </c>
      <c r="C57" s="28" t="s">
        <v>7</v>
      </c>
      <c r="D57" s="28" t="s">
        <v>8</v>
      </c>
      <c r="E57" s="28" t="s">
        <v>5</v>
      </c>
      <c r="F57" s="8" t="s">
        <v>22</v>
      </c>
      <c r="G57" s="26"/>
    </row>
    <row r="58" spans="1:7" ht="15" x14ac:dyDescent="0.2">
      <c r="A58" s="11" t="str">
        <f t="shared" ref="A58:A65" si="5">A25</f>
        <v>MDC</v>
      </c>
      <c r="B58" s="13">
        <f>[15]Mode_PA_h_f0_b0!B2</f>
        <v>90.16</v>
      </c>
      <c r="C58" s="14">
        <f>[15]Mode_PA_h_f0_b0!C2</f>
        <v>86.123043762318801</v>
      </c>
      <c r="D58" s="14">
        <f>[15]Mode_PA_h_f0_b0!D2</f>
        <v>94.197953690226399</v>
      </c>
      <c r="E58" s="14">
        <f>[15]Mode_PA_h_f0_b0!E2</f>
        <v>1.8029999999999999</v>
      </c>
      <c r="F58" s="15">
        <f>Table3[[#This Row],[Estimates]]-Table3[[#This Row],[2.5% CI]]</f>
        <v>4.0369562376811956</v>
      </c>
      <c r="G58" s="31"/>
    </row>
    <row r="59" spans="1:7" ht="15" x14ac:dyDescent="0.2">
      <c r="A59" s="11" t="str">
        <f t="shared" si="5"/>
        <v>MWH</v>
      </c>
      <c r="B59" s="13">
        <f>[15]Mode_PA_h_f0_b0!B3</f>
        <v>90.578000000000003</v>
      </c>
      <c r="C59" s="14">
        <f>[15]Mode_PA_h_f0_b0!C3</f>
        <v>86.540423250920597</v>
      </c>
      <c r="D59" s="14">
        <f>[15]Mode_PA_h_f0_b0!D3</f>
        <v>94.615525934098201</v>
      </c>
      <c r="E59" s="14">
        <f>[15]Mode_PA_h_f0_b0!E3</f>
        <v>1.8029999999999999</v>
      </c>
      <c r="F59" s="14">
        <f>Table3[[#This Row],[Estimates]]-Table3[[#This Row],[2.5% CI]]</f>
        <v>4.0375767490794061</v>
      </c>
      <c r="G59" s="31"/>
    </row>
    <row r="60" spans="1:7" ht="15" x14ac:dyDescent="0.2">
      <c r="A60" s="11" t="str">
        <f t="shared" si="5"/>
        <v>MYN</v>
      </c>
      <c r="B60" s="13">
        <f>[15]Mode_PA_h_f0_b0!B4</f>
        <v>91.29</v>
      </c>
      <c r="C60" s="14">
        <f>[15]Mode_PA_h_f0_b0!C4</f>
        <v>87.250257609612504</v>
      </c>
      <c r="D60" s="14">
        <f>[15]Mode_PA_h_f0_b0!D4</f>
        <v>95.329182144316803</v>
      </c>
      <c r="E60" s="14">
        <f>[15]Mode_PA_h_f0_b0!E4</f>
        <v>1.8049999999999999</v>
      </c>
      <c r="F60" s="14">
        <f>Table3[[#This Row],[Estimates]]-Table3[[#This Row],[2.5% CI]]</f>
        <v>4.0397423903875023</v>
      </c>
      <c r="G60" s="31"/>
    </row>
    <row r="61" spans="1:7" ht="15" x14ac:dyDescent="0.2">
      <c r="A61" s="11" t="str">
        <f t="shared" si="5"/>
        <v>MDQ</v>
      </c>
      <c r="B61" s="17">
        <f>[15]Mode_PA_h_f0_b0!B5</f>
        <v>92.46</v>
      </c>
      <c r="C61" s="14">
        <f>[15]Mode_PA_h_f0_b0!C5</f>
        <v>88.416665374418102</v>
      </c>
      <c r="D61" s="14">
        <f>[15]Mode_PA_h_f0_b0!D5</f>
        <v>96.504310766312699</v>
      </c>
      <c r="E61" s="14">
        <f>[15]Mode_PA_h_f0_b0!E5</f>
        <v>1.81</v>
      </c>
      <c r="F61" s="14">
        <f>Table3[[#This Row],[Estimates]]-Table3[[#This Row],[2.5% CI]]</f>
        <v>4.0433346255818918</v>
      </c>
      <c r="G61" s="31"/>
    </row>
    <row r="62" spans="1:7" ht="15" x14ac:dyDescent="0.2">
      <c r="A62" s="11" t="str">
        <f t="shared" si="5"/>
        <v>L*H</v>
      </c>
      <c r="B62" s="13">
        <f>[15]Mode_PA_h_f0_b0!B6</f>
        <v>90.16</v>
      </c>
      <c r="C62" s="14">
        <f>[15]Mode_PA_h_f0_b0!C6</f>
        <v>86.123043762318801</v>
      </c>
      <c r="D62" s="14">
        <f>[15]Mode_PA_h_f0_b0!D6</f>
        <v>94.197953690226399</v>
      </c>
      <c r="E62" s="14">
        <f>[15]Mode_PA_h_f0_b0!E6</f>
        <v>1.8029999999999999</v>
      </c>
      <c r="F62" s="14">
        <f>Table3[[#This Row],[Estimates]]-Table3[[#This Row],[2.5% CI]]</f>
        <v>4.0369562376811956</v>
      </c>
      <c r="G62" s="31"/>
    </row>
    <row r="63" spans="1:7" ht="15" x14ac:dyDescent="0.2">
      <c r="A63" s="11" t="str">
        <f t="shared" si="5"/>
        <v>^[L*]H</v>
      </c>
      <c r="B63" s="13">
        <f>[15]Mode_PA_h_f0_b0!B7</f>
        <v>89.887</v>
      </c>
      <c r="C63" s="14">
        <f>[15]Mode_PA_h_f0_b0!C7</f>
        <v>85.459720294364303</v>
      </c>
      <c r="D63" s="14">
        <f>[15]Mode_PA_h_f0_b0!D7</f>
        <v>94.315126046853607</v>
      </c>
      <c r="E63" s="14">
        <f>[15]Mode_PA_h_f0_b0!E7</f>
        <v>2.1070000000000002</v>
      </c>
      <c r="F63" s="14">
        <f>Table3[[#This Row],[Estimates]]-Table3[[#This Row],[2.5% CI]]</f>
        <v>4.4272797056356978</v>
      </c>
      <c r="G63" s="31"/>
    </row>
    <row r="64" spans="1:7" ht="15" x14ac:dyDescent="0.2">
      <c r="A64" s="11" t="str">
        <f t="shared" si="5"/>
        <v>L*^[H]</v>
      </c>
      <c r="B64" s="13">
        <f>[15]Mode_PA_h_f0_b0!B8</f>
        <v>93.736999999999995</v>
      </c>
      <c r="C64" s="14">
        <f>[15]Mode_PA_h_f0_b0!C8</f>
        <v>89.644799114240996</v>
      </c>
      <c r="D64" s="14">
        <f>[15]Mode_PA_h_f0_b0!D8</f>
        <v>97.829742285346597</v>
      </c>
      <c r="E64" s="14">
        <f>[15]Mode_PA_h_f0_b0!E8</f>
        <v>1.8560000000000001</v>
      </c>
      <c r="F64" s="14">
        <f>Table3[[#This Row],[Estimates]]-Table3[[#This Row],[2.5% CI]]</f>
        <v>4.0922008857589987</v>
      </c>
      <c r="G64" s="31"/>
    </row>
    <row r="65" spans="1:27" ht="15" x14ac:dyDescent="0.2">
      <c r="A65" s="11" t="str">
        <f t="shared" si="5"/>
        <v>^[L*H]</v>
      </c>
      <c r="B65" s="17">
        <f>[15]Mode_PA_h_f0_b0!B9</f>
        <v>93.728999999999999</v>
      </c>
      <c r="C65" s="19">
        <f>[15]Mode_PA_h_f0_b0!C9</f>
        <v>89.656987791724603</v>
      </c>
      <c r="D65" s="19">
        <f>[15]Mode_PA_h_f0_b0!D9</f>
        <v>97.800438498133602</v>
      </c>
      <c r="E65" s="19">
        <f>[15]Mode_PA_h_f0_b0!E9</f>
        <v>1.8360000000000001</v>
      </c>
      <c r="F65" s="19">
        <f>Table3[[#This Row],[Estimates]]-Table3[[#This Row],[2.5% CI]]</f>
        <v>4.072012208275396</v>
      </c>
      <c r="G65" s="31"/>
    </row>
    <row r="66" spans="1:27" x14ac:dyDescent="0.2">
      <c r="A66" s="45"/>
      <c r="B66" s="44"/>
      <c r="C66" s="44"/>
      <c r="D66" s="44"/>
      <c r="E66" s="44"/>
      <c r="F66" s="44"/>
      <c r="G66" s="44"/>
      <c r="H66" s="44"/>
      <c r="I66" s="45"/>
      <c r="J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x14ac:dyDescent="0.2">
      <c r="A67" s="45"/>
      <c r="B67" s="44"/>
      <c r="C67" s="44"/>
      <c r="D67" s="44"/>
      <c r="E67" s="44"/>
      <c r="F67" s="44"/>
      <c r="G67" s="44"/>
      <c r="H67" s="44"/>
      <c r="I67" s="45"/>
      <c r="J67" s="45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x14ac:dyDescent="0.2">
      <c r="A68" s="45"/>
      <c r="B68" s="44"/>
      <c r="C68" s="44"/>
      <c r="D68" s="44"/>
      <c r="E68" s="44"/>
      <c r="F68" s="44"/>
      <c r="G68" s="44"/>
      <c r="H68" s="44"/>
      <c r="I68" s="45"/>
      <c r="J68" s="45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x14ac:dyDescent="0.2">
      <c r="A69" s="45"/>
      <c r="B69" s="44"/>
      <c r="C69" s="44"/>
      <c r="D69" s="44"/>
      <c r="E69" s="44"/>
      <c r="F69" s="44"/>
      <c r="G69" s="44"/>
      <c r="H69" s="44"/>
      <c r="I69" s="45"/>
      <c r="J69" s="45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x14ac:dyDescent="0.2">
      <c r="A70" s="45"/>
      <c r="B70" s="44"/>
      <c r="C70" s="44"/>
      <c r="D70" s="44"/>
      <c r="E70" s="44"/>
      <c r="F70" s="44"/>
      <c r="G70" s="44"/>
      <c r="H70" s="44"/>
      <c r="I70" s="45"/>
      <c r="J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x14ac:dyDescent="0.2">
      <c r="A71" s="45"/>
      <c r="B71" s="44"/>
      <c r="C71" s="44"/>
      <c r="D71" s="44"/>
      <c r="E71" s="44"/>
      <c r="F71" s="44"/>
      <c r="G71" s="44"/>
      <c r="H71" s="44"/>
      <c r="I71" s="45"/>
      <c r="J71" s="45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x14ac:dyDescent="0.2">
      <c r="A72" s="45"/>
      <c r="B72" s="44"/>
      <c r="C72" s="44"/>
      <c r="D72" s="44"/>
      <c r="E72" s="44"/>
      <c r="F72" s="44"/>
      <c r="G72" s="44"/>
      <c r="H72" s="44"/>
      <c r="I72" s="45"/>
      <c r="J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x14ac:dyDescent="0.2">
      <c r="A73" s="45"/>
      <c r="B73" s="44"/>
      <c r="C73" s="44"/>
      <c r="D73" s="44"/>
      <c r="E73" s="44"/>
      <c r="F73" s="44"/>
      <c r="G73" s="44"/>
      <c r="H73" s="44"/>
      <c r="I73" s="45"/>
      <c r="J73" s="45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x14ac:dyDescent="0.2">
      <c r="A74" s="45"/>
      <c r="B74" s="44"/>
      <c r="C74" s="44"/>
      <c r="D74" s="44"/>
      <c r="E74" s="44"/>
      <c r="F74" s="44"/>
      <c r="G74" s="44"/>
      <c r="H74" s="44"/>
      <c r="I74" s="45"/>
      <c r="J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x14ac:dyDescent="0.2">
      <c r="A75" s="45"/>
      <c r="B75" s="44"/>
      <c r="C75" s="44"/>
      <c r="D75" s="44"/>
      <c r="E75" s="44"/>
      <c r="F75" s="44"/>
      <c r="G75" s="44"/>
      <c r="H75" s="44"/>
      <c r="I75" s="45"/>
      <c r="J75" s="45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x14ac:dyDescent="0.2">
      <c r="A76" s="45"/>
      <c r="B76" s="44"/>
      <c r="C76" s="44"/>
      <c r="D76" s="44"/>
      <c r="E76" s="44"/>
      <c r="F76" s="44"/>
      <c r="G76" s="44"/>
      <c r="H76" s="44"/>
      <c r="I76" s="45"/>
      <c r="J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x14ac:dyDescent="0.2">
      <c r="A77" s="45"/>
      <c r="B77" s="44"/>
      <c r="C77" s="44"/>
      <c r="D77" s="44"/>
      <c r="E77" s="44"/>
      <c r="F77" s="44"/>
      <c r="G77" s="44"/>
      <c r="H77" s="44"/>
      <c r="I77" s="45"/>
      <c r="J77" s="45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x14ac:dyDescent="0.2">
      <c r="A78" s="45"/>
      <c r="B78" s="44"/>
      <c r="C78" s="44"/>
      <c r="D78" s="44"/>
      <c r="E78" s="44"/>
      <c r="F78" s="44"/>
      <c r="G78" s="44"/>
      <c r="H78" s="44"/>
      <c r="I78" s="45"/>
      <c r="J78" s="45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x14ac:dyDescent="0.2">
      <c r="A79" s="45"/>
      <c r="B79" s="44"/>
      <c r="C79" s="44"/>
      <c r="D79" s="44"/>
      <c r="E79" s="44"/>
      <c r="F79" s="44"/>
      <c r="G79" s="44"/>
      <c r="H79" s="44"/>
      <c r="I79" s="45"/>
      <c r="J79" s="45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x14ac:dyDescent="0.2">
      <c r="A80" s="45"/>
      <c r="B80" s="44"/>
      <c r="C80" s="44"/>
      <c r="D80" s="44"/>
      <c r="E80" s="44"/>
      <c r="F80" s="44"/>
      <c r="G80" s="44"/>
      <c r="H80" s="44"/>
      <c r="I80" s="45"/>
      <c r="J80" s="45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x14ac:dyDescent="0.2">
      <c r="A81" s="45"/>
      <c r="B81" s="44"/>
      <c r="C81" s="44"/>
      <c r="D81" s="44"/>
      <c r="E81" s="44"/>
      <c r="F81" s="44"/>
      <c r="G81" s="44"/>
      <c r="H81" s="44"/>
      <c r="I81" s="45"/>
      <c r="J81" s="45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x14ac:dyDescent="0.2">
      <c r="A82" s="45"/>
      <c r="B82" s="44"/>
      <c r="C82" s="44"/>
      <c r="D82" s="44"/>
      <c r="E82" s="44"/>
      <c r="F82" s="44"/>
      <c r="G82" s="44"/>
      <c r="H82" s="44"/>
      <c r="I82" s="45"/>
      <c r="J82" s="45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x14ac:dyDescent="0.2">
      <c r="A83" s="45"/>
      <c r="B83" s="44"/>
      <c r="C83" s="44"/>
      <c r="D83" s="44"/>
      <c r="E83" s="44"/>
      <c r="F83" s="44"/>
      <c r="G83" s="44"/>
      <c r="H83" s="44"/>
      <c r="I83" s="45"/>
      <c r="J83" s="45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x14ac:dyDescent="0.2">
      <c r="A84" s="45"/>
      <c r="B84" s="44"/>
      <c r="C84" s="44"/>
      <c r="D84" s="44"/>
      <c r="E84" s="44"/>
      <c r="F84" s="44"/>
      <c r="G84" s="44"/>
      <c r="H84" s="44"/>
      <c r="I84" s="45"/>
      <c r="J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x14ac:dyDescent="0.2">
      <c r="A85" s="45"/>
      <c r="B85" s="44"/>
      <c r="C85" s="44"/>
      <c r="D85" s="44"/>
      <c r="E85" s="44"/>
      <c r="F85" s="44"/>
      <c r="G85" s="44"/>
      <c r="H85" s="44"/>
      <c r="I85" s="45"/>
      <c r="J85" s="45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x14ac:dyDescent="0.2">
      <c r="A86" s="45"/>
      <c r="B86" s="44"/>
      <c r="C86" s="44"/>
      <c r="D86" s="44"/>
      <c r="E86" s="44"/>
      <c r="F86" s="44"/>
      <c r="G86" s="44"/>
      <c r="H86" s="44"/>
      <c r="I86" s="45"/>
      <c r="J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x14ac:dyDescent="0.2">
      <c r="A87" s="45"/>
      <c r="B87" s="44"/>
      <c r="C87" s="44"/>
      <c r="D87" s="44"/>
      <c r="E87" s="44"/>
      <c r="F87" s="44"/>
      <c r="G87" s="44"/>
      <c r="H87" s="44"/>
      <c r="I87" s="45"/>
      <c r="J87" s="45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x14ac:dyDescent="0.2">
      <c r="A88" s="45"/>
      <c r="B88" s="44"/>
      <c r="C88" s="44"/>
      <c r="D88" s="44"/>
      <c r="E88" s="44"/>
      <c r="F88" s="44"/>
      <c r="G88" s="44"/>
      <c r="H88" s="44"/>
      <c r="I88" s="45"/>
      <c r="J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x14ac:dyDescent="0.2">
      <c r="A89" s="45"/>
      <c r="B89" s="44"/>
      <c r="C89" s="44"/>
      <c r="D89" s="44"/>
      <c r="E89" s="44"/>
      <c r="F89" s="44"/>
      <c r="G89" s="44"/>
      <c r="H89" s="44"/>
      <c r="I89" s="45"/>
      <c r="J89" s="45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x14ac:dyDescent="0.2">
      <c r="A90" s="45"/>
      <c r="B90" s="44"/>
      <c r="C90" s="44"/>
      <c r="D90" s="44"/>
      <c r="E90" s="44"/>
      <c r="F90" s="44"/>
      <c r="G90" s="44"/>
      <c r="H90" s="44"/>
      <c r="I90" s="45"/>
      <c r="J90" s="45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x14ac:dyDescent="0.2">
      <c r="A91" s="45"/>
      <c r="B91" s="44"/>
      <c r="C91" s="44"/>
      <c r="D91" s="44"/>
      <c r="E91" s="44"/>
      <c r="F91" s="44"/>
      <c r="G91" s="44"/>
      <c r="H91" s="44"/>
      <c r="I91" s="45"/>
      <c r="J91" s="45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x14ac:dyDescent="0.2">
      <c r="A92" s="45"/>
      <c r="B92" s="44"/>
      <c r="C92" s="44"/>
      <c r="D92" s="44"/>
      <c r="E92" s="44"/>
      <c r="F92" s="44"/>
      <c r="G92" s="44"/>
      <c r="H92" s="44"/>
      <c r="I92" s="45"/>
      <c r="J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x14ac:dyDescent="0.2">
      <c r="A93" s="45"/>
      <c r="B93" s="44"/>
      <c r="C93" s="44"/>
      <c r="D93" s="44"/>
      <c r="E93" s="44"/>
      <c r="F93" s="44"/>
      <c r="G93" s="44"/>
      <c r="H93" s="44"/>
      <c r="I93" s="45"/>
      <c r="J93" s="45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x14ac:dyDescent="0.2">
      <c r="A94" s="45"/>
      <c r="B94" s="44"/>
      <c r="C94" s="44"/>
      <c r="D94" s="44"/>
      <c r="E94" s="44"/>
      <c r="F94" s="44"/>
      <c r="G94" s="44"/>
      <c r="H94" s="44"/>
      <c r="I94" s="45"/>
      <c r="J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x14ac:dyDescent="0.2">
      <c r="A95" s="45"/>
      <c r="B95" s="44"/>
      <c r="C95" s="44"/>
      <c r="D95" s="44"/>
      <c r="E95" s="44"/>
      <c r="F95" s="44"/>
      <c r="G95" s="44"/>
      <c r="H95" s="44"/>
      <c r="I95" s="45"/>
      <c r="J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x14ac:dyDescent="0.2">
      <c r="A96" s="45"/>
      <c r="B96" s="44"/>
      <c r="C96" s="44"/>
      <c r="D96" s="44"/>
      <c r="E96" s="44"/>
      <c r="F96" s="44"/>
      <c r="G96" s="44"/>
      <c r="H96" s="44"/>
      <c r="I96" s="45"/>
      <c r="J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x14ac:dyDescent="0.2">
      <c r="A97" s="45"/>
      <c r="B97" s="44"/>
      <c r="C97" s="44"/>
      <c r="D97" s="44"/>
      <c r="E97" s="44"/>
      <c r="F97" s="44"/>
      <c r="G97" s="44"/>
      <c r="H97" s="44"/>
      <c r="I97" s="45"/>
      <c r="J97" s="45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x14ac:dyDescent="0.2">
      <c r="A98" s="45"/>
      <c r="B98" s="44"/>
      <c r="C98" s="44"/>
      <c r="D98" s="44"/>
      <c r="E98" s="44"/>
      <c r="F98" s="44"/>
      <c r="G98" s="44"/>
      <c r="H98" s="44"/>
      <c r="I98" s="45"/>
      <c r="J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x14ac:dyDescent="0.2">
      <c r="A99" s="45"/>
      <c r="B99" s="44"/>
      <c r="C99" s="44"/>
      <c r="D99" s="44"/>
      <c r="E99" s="44"/>
      <c r="F99" s="44"/>
      <c r="G99" s="44"/>
      <c r="H99" s="44"/>
      <c r="I99" s="45"/>
      <c r="J99" s="45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x14ac:dyDescent="0.2">
      <c r="A100" s="45"/>
      <c r="B100" s="44"/>
      <c r="C100" s="44"/>
      <c r="D100" s="44"/>
      <c r="E100" s="44"/>
      <c r="F100" s="44"/>
      <c r="G100" s="44"/>
      <c r="H100" s="44"/>
      <c r="I100" s="45"/>
      <c r="J100" s="45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x14ac:dyDescent="0.2">
      <c r="A101" s="45"/>
      <c r="B101" s="44"/>
      <c r="C101" s="44"/>
      <c r="D101" s="44"/>
      <c r="E101" s="44"/>
      <c r="F101" s="44"/>
      <c r="G101" s="44"/>
      <c r="H101" s="44"/>
      <c r="I101" s="45"/>
      <c r="J101" s="45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x14ac:dyDescent="0.2">
      <c r="A102" s="45"/>
      <c r="B102" s="44"/>
      <c r="C102" s="44"/>
      <c r="D102" s="44"/>
      <c r="E102" s="44"/>
      <c r="F102" s="44"/>
      <c r="G102" s="44"/>
      <c r="H102" s="44"/>
      <c r="I102" s="45"/>
      <c r="J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</sheetData>
  <mergeCells count="2">
    <mergeCell ref="A1:J1"/>
    <mergeCell ref="L1:N1"/>
  </mergeCells>
  <phoneticPr fontId="33" type="noConversion"/>
  <conditionalFormatting sqref="H8:I10 H13:I16 H18:I21 H3:I6">
    <cfRule type="cellIs" dxfId="188" priority="46" stopIfTrue="1" operator="lessThan">
      <formula>0.0001</formula>
    </cfRule>
    <cfRule type="cellIs" dxfId="187" priority="47" stopIfTrue="1" operator="lessThan">
      <formula>0.001</formula>
    </cfRule>
    <cfRule type="cellIs" dxfId="186" priority="48" stopIfTrue="1" operator="lessThan">
      <formula>0.05</formula>
    </cfRule>
    <cfRule type="cellIs" dxfId="185" priority="49" stopIfTrue="1" operator="lessThan">
      <formula>0.1</formula>
    </cfRule>
  </conditionalFormatting>
  <conditionalFormatting sqref="J8:J11 J13:J16 J18:J21 J3:J6">
    <cfRule type="containsText" dxfId="184" priority="37" stopIfTrue="1" operator="containsText" text="p&lt;0.0001">
      <formula>NOT(ISERROR(SEARCH("p&lt;0.0001",J3)))</formula>
    </cfRule>
    <cfRule type="containsText" dxfId="183" priority="42" stopIfTrue="1" operator="containsText" text="p&lt;0.001">
      <formula>NOT(ISERROR(SEARCH("p&lt;0.001",J3)))</formula>
    </cfRule>
    <cfRule type="containsText" dxfId="182" priority="43" stopIfTrue="1" operator="containsText" text="p&lt;0.01">
      <formula>NOT(ISERROR(SEARCH("p&lt;0.01",J3)))</formula>
    </cfRule>
    <cfRule type="containsText" dxfId="181" priority="44" stopIfTrue="1" operator="containsText" text="p&lt;0.05">
      <formula>NOT(ISERROR(SEARCH("p&lt;0.05",J3)))</formula>
    </cfRule>
    <cfRule type="containsText" dxfId="180" priority="45" stopIfTrue="1" operator="containsText" text="p&lt;0.1">
      <formula>NOT(ISERROR(SEARCH("p&lt;0.1",J3)))</formula>
    </cfRule>
  </conditionalFormatting>
  <conditionalFormatting sqref="I11">
    <cfRule type="cellIs" dxfId="179" priority="38" stopIfTrue="1" operator="lessThan">
      <formula>0.0001</formula>
    </cfRule>
    <cfRule type="cellIs" dxfId="178" priority="39" stopIfTrue="1" operator="lessThan">
      <formula>0.001</formula>
    </cfRule>
    <cfRule type="cellIs" dxfId="177" priority="40" stopIfTrue="1" operator="lessThan">
      <formula>0.05</formula>
    </cfRule>
    <cfRule type="cellIs" dxfId="176" priority="41" stopIfTrue="1" operator="lessThan">
      <formula>0.1</formula>
    </cfRule>
  </conditionalFormatting>
  <conditionalFormatting sqref="F25:F32 F36:F43 F47:F54 F58:F65 F33:G33 A55">
    <cfRule type="cellIs" dxfId="175" priority="5" operator="lessThan">
      <formula>0.05</formula>
    </cfRule>
  </conditionalFormatting>
  <conditionalFormatting sqref="H11">
    <cfRule type="cellIs" dxfId="174" priority="1" stopIfTrue="1" operator="lessThan">
      <formula>0.0001</formula>
    </cfRule>
    <cfRule type="cellIs" dxfId="173" priority="2" stopIfTrue="1" operator="lessThan">
      <formula>0.001</formula>
    </cfRule>
    <cfRule type="cellIs" dxfId="172" priority="3" stopIfTrue="1" operator="lessThan">
      <formula>0.05</formula>
    </cfRule>
    <cfRule type="cellIs" dxfId="171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1"/>
  <sheetViews>
    <sheetView showGridLines="0" zoomScale="111" zoomScaleNormal="111" zoomScaleSheetLayoutView="55" workbookViewId="0">
      <selection activeCell="K2" sqref="K2:K31"/>
    </sheetView>
  </sheetViews>
  <sheetFormatPr defaultColWidth="13.85546875" defaultRowHeight="12.75" x14ac:dyDescent="0.2"/>
  <cols>
    <col min="1" max="1" width="17.140625" style="82" customWidth="1"/>
    <col min="2" max="6" width="11.85546875" style="83" customWidth="1"/>
    <col min="7" max="7" width="11.85546875" style="86" customWidth="1"/>
    <col min="8" max="10" width="11.85546875" style="84" customWidth="1"/>
    <col min="11" max="12" width="11.42578125" style="79" customWidth="1"/>
    <col min="13" max="14" width="8.7109375" style="79" customWidth="1"/>
    <col min="15" max="15" width="11.42578125" style="80" customWidth="1"/>
    <col min="16" max="16" width="9.7109375" style="80" customWidth="1"/>
    <col min="17" max="17" width="11.42578125" style="80" customWidth="1"/>
    <col min="18" max="19" width="7.7109375" style="79" customWidth="1"/>
    <col min="20" max="21" width="11.42578125" style="79" customWidth="1"/>
    <col min="22" max="23" width="8.7109375" style="79" customWidth="1"/>
    <col min="24" max="24" width="11.42578125" style="80" customWidth="1"/>
    <col min="25" max="25" width="9.7109375" style="80" customWidth="1"/>
    <col min="26" max="26" width="11.42578125" style="80" customWidth="1"/>
    <col min="27" max="28" width="7.7109375" style="79" customWidth="1"/>
    <col min="29" max="30" width="11.42578125" style="79" customWidth="1"/>
    <col min="31" max="32" width="8.7109375" style="79" customWidth="1"/>
    <col min="33" max="33" width="11.42578125" style="80" customWidth="1"/>
    <col min="34" max="34" width="9.7109375" style="80" customWidth="1"/>
    <col min="35" max="35" width="11.42578125" style="80" customWidth="1"/>
    <col min="36" max="37" width="7.7109375" style="79" customWidth="1"/>
    <col min="38" max="39" width="11.42578125" style="79" customWidth="1"/>
    <col min="40" max="41" width="8.7109375" style="79" customWidth="1"/>
    <col min="42" max="42" width="11.42578125" style="80" customWidth="1"/>
    <col min="43" max="43" width="9.7109375" style="80" customWidth="1"/>
    <col min="44" max="44" width="11.42578125" style="80" customWidth="1"/>
    <col min="45" max="46" width="7.7109375" style="79" customWidth="1"/>
    <col min="47" max="48" width="11.42578125" style="79" customWidth="1"/>
    <col min="49" max="50" width="8.7109375" style="79" customWidth="1"/>
    <col min="51" max="51" width="11.42578125" style="80" customWidth="1"/>
    <col min="52" max="52" width="9.7109375" style="80" customWidth="1"/>
    <col min="53" max="53" width="11.42578125" style="80" customWidth="1"/>
    <col min="54" max="55" width="11.42578125" style="79" customWidth="1"/>
    <col min="56" max="16384" width="13.85546875" style="79"/>
  </cols>
  <sheetData>
    <row r="1" spans="1:53" s="261" customFormat="1" ht="24" customHeight="1" thickBot="1" x14ac:dyDescent="0.35">
      <c r="A1" s="277" t="s">
        <v>77</v>
      </c>
      <c r="B1" s="277"/>
      <c r="C1" s="277"/>
      <c r="D1" s="277"/>
      <c r="E1" s="277"/>
      <c r="F1" s="277"/>
      <c r="G1" s="277"/>
      <c r="H1" s="277"/>
      <c r="I1" s="277"/>
      <c r="J1" s="277"/>
      <c r="O1" s="262"/>
      <c r="P1" s="262"/>
      <c r="Q1" s="262"/>
      <c r="X1" s="262"/>
      <c r="Y1" s="262"/>
      <c r="Z1" s="262"/>
      <c r="AG1" s="262"/>
      <c r="AH1" s="262"/>
      <c r="AI1" s="262"/>
      <c r="AP1" s="262"/>
      <c r="AQ1" s="262"/>
      <c r="AR1" s="262"/>
      <c r="AY1" s="262"/>
      <c r="AZ1" s="262"/>
      <c r="BA1" s="262"/>
    </row>
    <row r="2" spans="1:53" s="67" customFormat="1" ht="15.75" customHeight="1" thickTop="1" thickBot="1" x14ac:dyDescent="0.25">
      <c r="A2" s="65" t="s">
        <v>34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80" t="s">
        <v>64</v>
      </c>
    </row>
    <row r="3" spans="1:53" s="72" customFormat="1" ht="15.75" customHeight="1" thickTop="1" x14ac:dyDescent="0.2">
      <c r="A3" s="68" t="s">
        <v>41</v>
      </c>
      <c r="B3" s="68">
        <f>[21]Mode_PA_l_f0_b1!C2</f>
        <v>8.5999999999999993E-2</v>
      </c>
      <c r="C3" s="68">
        <f>[21]Mode_PA_l_f0_b1!D2</f>
        <v>-0.17687652601089701</v>
      </c>
      <c r="D3" s="68">
        <f>[21]Mode_PA_l_f0_b1!E2</f>
        <v>0.348471817940809</v>
      </c>
      <c r="E3" s="69">
        <f>[21]Mode_PA_l_f0_b1!F2</f>
        <v>0.13400000000000001</v>
      </c>
      <c r="F3" s="69">
        <f>[21]Mode_PA_l_f0_b1!G2</f>
        <v>0.64100000000000001</v>
      </c>
      <c r="G3" s="68">
        <f>[21]Mode_PA_l_f0_b1!H2</f>
        <v>598.97</v>
      </c>
      <c r="H3" s="70">
        <f>[21]Mode_PA_l_f0_b1!I2</f>
        <v>0.52100000000000002</v>
      </c>
      <c r="I3" s="70">
        <f>[21]Mode_PA_l_f0_b1!J2</f>
        <v>0.61599999999999999</v>
      </c>
      <c r="J3" s="71">
        <f>[21]Mode_PA_l_f0_b1!K2</f>
        <v>0</v>
      </c>
      <c r="K3" s="181">
        <f>B3-C3</f>
        <v>0.262876526010897</v>
      </c>
    </row>
    <row r="4" spans="1:53" s="72" customFormat="1" ht="15.75" customHeight="1" x14ac:dyDescent="0.2">
      <c r="A4" s="73" t="s">
        <v>42</v>
      </c>
      <c r="B4" s="73">
        <f>[22]Mode_PA_h_f0_b1!C2</f>
        <v>0.41699999999999998</v>
      </c>
      <c r="C4" s="73">
        <f>[22]Mode_PA_h_f0_b1!D2</f>
        <v>3.2769822598991402E-2</v>
      </c>
      <c r="D4" s="73">
        <f>[22]Mode_PA_h_f0_b1!E2</f>
        <v>0.80218190937686995</v>
      </c>
      <c r="E4" s="74">
        <f>[22]Mode_PA_h_f0_b1!F2</f>
        <v>0.19600000000000001</v>
      </c>
      <c r="F4" s="74">
        <f>[22]Mode_PA_h_f0_b1!G2</f>
        <v>2.1309999999999998</v>
      </c>
      <c r="G4" s="73">
        <f>[22]Mode_PA_h_f0_b1!H2</f>
        <v>609.98</v>
      </c>
      <c r="H4" s="75">
        <f>[22]Mode_PA_h_f0_b1!I2</f>
        <v>3.3000000000000002E-2</v>
      </c>
      <c r="I4" s="75">
        <f>[22]Mode_PA_h_f0_b1!J2</f>
        <v>5.1999999999999998E-2</v>
      </c>
      <c r="J4" s="76">
        <f>[22]Mode_PA_h_f0_b1!K2</f>
        <v>0</v>
      </c>
      <c r="K4" s="181">
        <f t="shared" ref="K4:K6" si="0">B4-C4</f>
        <v>0.38423017740100857</v>
      </c>
    </row>
    <row r="5" spans="1:53" s="78" customFormat="1" ht="15.75" customHeight="1" x14ac:dyDescent="0.2">
      <c r="A5" s="77" t="s">
        <v>4</v>
      </c>
      <c r="B5" s="73">
        <f>[23]Mode_PA_l_t_b1!C2</f>
        <v>0.32500000000000001</v>
      </c>
      <c r="C5" s="73">
        <f>[23]Mode_PA_l_t_b1!D2</f>
        <v>-3.5449395705412399</v>
      </c>
      <c r="D5" s="73">
        <f>[23]Mode_PA_l_t_b1!E2</f>
        <v>4.1943195758573397</v>
      </c>
      <c r="E5" s="73">
        <f>[23]Mode_PA_l_t_b1!F2</f>
        <v>1.97</v>
      </c>
      <c r="F5" s="74">
        <f>[23]Mode_PA_l_t_b1!G2</f>
        <v>0.16500000000000001</v>
      </c>
      <c r="G5" s="73">
        <f>[23]Mode_PA_l_t_b1!H2</f>
        <v>604.92999999999995</v>
      </c>
      <c r="H5" s="75">
        <f>[23]Mode_PA_l_t_b1!I2</f>
        <v>0.86899999999999999</v>
      </c>
      <c r="I5" s="75">
        <f>[23]Mode_PA_l_t_b1!J2</f>
        <v>0.93799999999999994</v>
      </c>
      <c r="J5" s="76">
        <f>[23]Mode_PA_l_t_b1!K2</f>
        <v>0</v>
      </c>
      <c r="K5" s="181">
        <f t="shared" si="0"/>
        <v>3.86993957054124</v>
      </c>
    </row>
    <row r="6" spans="1:53" s="78" customFormat="1" ht="15.75" customHeight="1" thickBot="1" x14ac:dyDescent="0.25">
      <c r="A6" s="77" t="s">
        <v>3</v>
      </c>
      <c r="B6" s="73">
        <f>[24]Mode_PA_h_t_b1!C2</f>
        <v>-0.45100000000000001</v>
      </c>
      <c r="C6" s="73">
        <f>[24]Mode_PA_h_t_b1!D2</f>
        <v>-6.1920653229988698</v>
      </c>
      <c r="D6" s="73">
        <f>[24]Mode_PA_h_t_b1!E2</f>
        <v>5.2894011087549098</v>
      </c>
      <c r="E6" s="73">
        <f>[24]Mode_PA_h_t_b1!F2</f>
        <v>2.923</v>
      </c>
      <c r="F6" s="74">
        <f>[24]Mode_PA_h_t_b1!G2</f>
        <v>-0.154</v>
      </c>
      <c r="G6" s="73">
        <f>[24]Mode_PA_h_t_b1!H2</f>
        <v>608.04</v>
      </c>
      <c r="H6" s="75">
        <f>[24]Mode_PA_h_t_b1!I2</f>
        <v>0.877</v>
      </c>
      <c r="I6" s="75">
        <f>[24]Mode_PA_h_t_b1!J2</f>
        <v>0.93799999999999994</v>
      </c>
      <c r="J6" s="76">
        <f>[24]Mode_PA_h_t_b1!K2</f>
        <v>0</v>
      </c>
      <c r="K6" s="181">
        <f t="shared" si="0"/>
        <v>5.7410653229988702</v>
      </c>
    </row>
    <row r="7" spans="1:53" ht="15.75" customHeight="1" thickTop="1" thickBot="1" x14ac:dyDescent="0.25">
      <c r="A7" s="65" t="s">
        <v>35</v>
      </c>
      <c r="B7" s="65" t="str">
        <f t="shared" ref="B7:H7" si="1">B2</f>
        <v>est.</v>
      </c>
      <c r="C7" s="65" t="str">
        <f t="shared" si="1"/>
        <v>2.5% CI</v>
      </c>
      <c r="D7" s="65" t="str">
        <f t="shared" si="1"/>
        <v>07.5% CI</v>
      </c>
      <c r="E7" s="65" t="str">
        <f t="shared" si="1"/>
        <v>std.error</v>
      </c>
      <c r="F7" s="65" t="str">
        <f t="shared" si="1"/>
        <v>t</v>
      </c>
      <c r="G7" s="85" t="str">
        <f t="shared" si="1"/>
        <v>df</v>
      </c>
      <c r="H7" s="66" t="str">
        <f t="shared" si="1"/>
        <v>p. val.</v>
      </c>
      <c r="I7" s="66" t="s">
        <v>40</v>
      </c>
      <c r="J7" s="66" t="str">
        <f>J2</f>
        <v>sig.</v>
      </c>
      <c r="K7" s="180" t="s">
        <v>64</v>
      </c>
    </row>
    <row r="8" spans="1:53" ht="15.75" customHeight="1" thickTop="1" x14ac:dyDescent="0.2">
      <c r="A8" s="68" t="s">
        <v>41</v>
      </c>
      <c r="B8" s="68">
        <f>[21]Mode_PA_l_f0_b1!C3</f>
        <v>1.1879999999999999</v>
      </c>
      <c r="C8" s="68">
        <f>[21]Mode_PA_l_f0_b1!D3</f>
        <v>0.89789380261555396</v>
      </c>
      <c r="D8" s="68">
        <f>[21]Mode_PA_l_f0_b1!E3</f>
        <v>1.4777286068392399</v>
      </c>
      <c r="E8" s="69">
        <f>[21]Mode_PA_l_f0_b1!F3</f>
        <v>0.14799999999999999</v>
      </c>
      <c r="F8" s="69">
        <f>[21]Mode_PA_l_f0_b1!G3</f>
        <v>8.0459999999999994</v>
      </c>
      <c r="G8" s="68">
        <f>[21]Mode_PA_l_f0_b1!H3</f>
        <v>599.01</v>
      </c>
      <c r="H8" s="70">
        <f>[21]Mode_PA_l_f0_b1!I3</f>
        <v>4.5999999999999998E-15</v>
      </c>
      <c r="I8" s="87">
        <f>[21]Mode_PA_l_f0_b1!J3</f>
        <v>3.2000000000000002E-14</v>
      </c>
      <c r="J8" s="71" t="str">
        <f>[21]Mode_PA_l_f0_b1!K3</f>
        <v>p&lt;0.0001</v>
      </c>
      <c r="K8" s="181">
        <f>B8-C8</f>
        <v>0.29010619738444599</v>
      </c>
    </row>
    <row r="9" spans="1:53" ht="15.75" customHeight="1" x14ac:dyDescent="0.2">
      <c r="A9" s="73" t="s">
        <v>42</v>
      </c>
      <c r="B9" s="73">
        <f>[22]Mode_PA_h_f0_b1!C3</f>
        <v>1.129</v>
      </c>
      <c r="C9" s="73">
        <f>[22]Mode_PA_h_f0_b1!D3</f>
        <v>0.70325590722223796</v>
      </c>
      <c r="D9" s="73">
        <f>[22]Mode_PA_h_f0_b1!E3</f>
        <v>1.5551863947656099</v>
      </c>
      <c r="E9" s="74">
        <f>[22]Mode_PA_h_f0_b1!F3</f>
        <v>0.217</v>
      </c>
      <c r="F9" s="74">
        <f>[22]Mode_PA_h_f0_b1!G3</f>
        <v>5.2060000000000004</v>
      </c>
      <c r="G9" s="73">
        <f>[22]Mode_PA_h_f0_b1!H3</f>
        <v>610.05999999999995</v>
      </c>
      <c r="H9" s="75">
        <f>[22]Mode_PA_h_f0_b1!I3</f>
        <v>2.6E-7</v>
      </c>
      <c r="I9" s="88">
        <f>[22]Mode_PA_h_f0_b1!J3</f>
        <v>9.9999999999999995E-7</v>
      </c>
      <c r="J9" s="76" t="str">
        <f>[22]Mode_PA_h_f0_b1!K3</f>
        <v>p&lt;0.0001</v>
      </c>
      <c r="K9" s="181">
        <f t="shared" ref="K9:K11" si="2">B9-C9</f>
        <v>0.42574409277776204</v>
      </c>
    </row>
    <row r="10" spans="1:53" ht="15.75" customHeight="1" x14ac:dyDescent="0.2">
      <c r="A10" s="77" t="s">
        <v>4</v>
      </c>
      <c r="B10" s="77">
        <f>[23]Mode_PA_l_t_b1!C3</f>
        <v>2.0680000000000001</v>
      </c>
      <c r="C10" s="77">
        <f>[23]Mode_PA_l_t_b1!D3</f>
        <v>-2.2250529520495501</v>
      </c>
      <c r="D10" s="77">
        <f>[23]Mode_PA_l_t_b1!E3</f>
        <v>6.3616380615155297</v>
      </c>
      <c r="E10" s="73">
        <f>[23]Mode_PA_l_t_b1!F3</f>
        <v>2.1859999999999999</v>
      </c>
      <c r="F10" s="74">
        <f>[23]Mode_PA_l_t_b1!G3</f>
        <v>0.94599999999999995</v>
      </c>
      <c r="G10" s="73">
        <f>[23]Mode_PA_l_t_b1!H3</f>
        <v>605.15</v>
      </c>
      <c r="H10" s="75">
        <f>[23]Mode_PA_l_t_b1!I3</f>
        <v>0.34399999999999997</v>
      </c>
      <c r="I10" s="75">
        <f>[23]Mode_PA_l_t_b1!J3</f>
        <v>0.44500000000000001</v>
      </c>
      <c r="J10" s="76">
        <f>[23]Mode_PA_l_t_b1!K3</f>
        <v>0</v>
      </c>
      <c r="K10" s="181">
        <f t="shared" si="2"/>
        <v>4.2930529520495497</v>
      </c>
    </row>
    <row r="11" spans="1:53" ht="15.75" customHeight="1" thickBot="1" x14ac:dyDescent="0.25">
      <c r="A11" s="77" t="s">
        <v>3</v>
      </c>
      <c r="B11" s="77">
        <f>[24]Mode_PA_h_t_b1!C3</f>
        <v>-7.9000000000000001E-2</v>
      </c>
      <c r="C11" s="77">
        <f>[24]Mode_PA_h_t_b1!D3</f>
        <v>-6.4355930497881104</v>
      </c>
      <c r="D11" s="77">
        <f>[24]Mode_PA_h_t_b1!E3</f>
        <v>6.2766427277463697</v>
      </c>
      <c r="E11" s="73">
        <f>[24]Mode_PA_h_t_b1!F3</f>
        <v>3.2370000000000001</v>
      </c>
      <c r="F11" s="74">
        <f>[24]Mode_PA_h_t_b1!G3</f>
        <v>-2.5000000000000001E-2</v>
      </c>
      <c r="G11" s="73">
        <f>[24]Mode_PA_h_t_b1!H3</f>
        <v>608.29</v>
      </c>
      <c r="H11" s="74">
        <f>[24]Mode_PA_h_t_b1!I3</f>
        <v>0.98</v>
      </c>
      <c r="I11" s="75">
        <f>[24]Mode_PA_h_t_b1!J3</f>
        <v>0.98399999999999999</v>
      </c>
      <c r="J11" s="76">
        <f>[24]Mode_PA_h_t_b1!K3</f>
        <v>0</v>
      </c>
      <c r="K11" s="181">
        <f t="shared" si="2"/>
        <v>6.3565930497881107</v>
      </c>
    </row>
    <row r="12" spans="1:53" ht="15.75" customHeight="1" thickTop="1" thickBot="1" x14ac:dyDescent="0.25">
      <c r="A12" s="65" t="s">
        <v>36</v>
      </c>
      <c r="B12" s="65" t="str">
        <f t="shared" ref="B12:H12" si="3">B2</f>
        <v>est.</v>
      </c>
      <c r="C12" s="65" t="str">
        <f t="shared" si="3"/>
        <v>2.5% CI</v>
      </c>
      <c r="D12" s="65" t="str">
        <f t="shared" si="3"/>
        <v>07.5% CI</v>
      </c>
      <c r="E12" s="65" t="str">
        <f t="shared" si="3"/>
        <v>std.error</v>
      </c>
      <c r="F12" s="65" t="str">
        <f t="shared" si="3"/>
        <v>t</v>
      </c>
      <c r="G12" s="85" t="str">
        <f t="shared" si="3"/>
        <v>df</v>
      </c>
      <c r="H12" s="66" t="str">
        <f t="shared" si="3"/>
        <v>p. val.</v>
      </c>
      <c r="I12" s="66" t="s">
        <v>40</v>
      </c>
      <c r="J12" s="66" t="str">
        <f>J2</f>
        <v>sig.</v>
      </c>
      <c r="K12" s="180" t="s">
        <v>64</v>
      </c>
    </row>
    <row r="13" spans="1:53" ht="15.75" customHeight="1" thickTop="1" x14ac:dyDescent="0.2">
      <c r="A13" s="68" t="s">
        <v>41</v>
      </c>
      <c r="B13" s="68">
        <f>[21]Mode_PA_l_f0_b1!C4</f>
        <v>1.042</v>
      </c>
      <c r="C13" s="68">
        <f>[21]Mode_PA_l_f0_b1!D4</f>
        <v>0.63743718426227003</v>
      </c>
      <c r="D13" s="68">
        <f>[21]Mode_PA_l_f0_b1!E4</f>
        <v>1.4461521942798901</v>
      </c>
      <c r="E13" s="68">
        <f>[21]Mode_PA_l_f0_b1!F4</f>
        <v>0.20599999999999999</v>
      </c>
      <c r="F13" s="69">
        <f>[21]Mode_PA_l_f0_b1!G4</f>
        <v>5.0599999999999996</v>
      </c>
      <c r="G13" s="68">
        <f>[21]Mode_PA_l_f0_b1!H4</f>
        <v>600.46</v>
      </c>
      <c r="H13" s="70">
        <f>[21]Mode_PA_l_f0_b1!I4</f>
        <v>5.6000000000000004E-7</v>
      </c>
      <c r="I13" s="87">
        <f>[21]Mode_PA_l_f0_b1!J4</f>
        <v>1.9E-6</v>
      </c>
      <c r="J13" s="71" t="str">
        <f>[21]Mode_PA_l_f0_b1!K4</f>
        <v>p&lt;0.0001</v>
      </c>
      <c r="K13" s="181">
        <f>B13-C13</f>
        <v>0.40456281573773001</v>
      </c>
    </row>
    <row r="14" spans="1:53" ht="15.75" customHeight="1" x14ac:dyDescent="0.2">
      <c r="A14" s="73" t="s">
        <v>42</v>
      </c>
      <c r="B14" s="73">
        <f>[22]Mode_PA_h_f0_b1!C4</f>
        <v>2.2999999999999998</v>
      </c>
      <c r="C14" s="73">
        <f>[22]Mode_PA_h_f0_b1!D4</f>
        <v>1.7262072036284699</v>
      </c>
      <c r="D14" s="73">
        <f>[22]Mode_PA_h_f0_b1!E4</f>
        <v>2.87377148473445</v>
      </c>
      <c r="E14" s="73">
        <f>[22]Mode_PA_h_f0_b1!F4</f>
        <v>0.29199999999999998</v>
      </c>
      <c r="F14" s="74">
        <f>[22]Mode_PA_h_f0_b1!G4</f>
        <v>7.8719999999999999</v>
      </c>
      <c r="G14" s="73">
        <f>[22]Mode_PA_h_f0_b1!H4</f>
        <v>611.79999999999995</v>
      </c>
      <c r="H14" s="75">
        <f>[22]Mode_PA_h_f0_b1!I4</f>
        <v>1.6000000000000001E-14</v>
      </c>
      <c r="I14" s="88">
        <f>[22]Mode_PA_h_f0_b1!J4</f>
        <v>1E-13</v>
      </c>
      <c r="J14" s="76" t="str">
        <f>[22]Mode_PA_h_f0_b1!K4</f>
        <v>p&lt;0.0001</v>
      </c>
      <c r="K14" s="181">
        <f t="shared" ref="K14:K16" si="4">B14-C14</f>
        <v>0.57379279637152991</v>
      </c>
    </row>
    <row r="15" spans="1:53" ht="15.75" customHeight="1" x14ac:dyDescent="0.2">
      <c r="A15" s="77" t="s">
        <v>4</v>
      </c>
      <c r="B15" s="77">
        <f>[23]Mode_PA_l_t_b1!C4</f>
        <v>-20.366</v>
      </c>
      <c r="C15" s="77">
        <f>[23]Mode_PA_l_t_b1!D4</f>
        <v>-26.087701974711099</v>
      </c>
      <c r="D15" s="77">
        <f>[23]Mode_PA_l_t_b1!E4</f>
        <v>-14.6448481236961</v>
      </c>
      <c r="E15" s="73">
        <f>[23]Mode_PA_l_t_b1!F4</f>
        <v>2.9129999999999998</v>
      </c>
      <c r="F15" s="74">
        <f>[23]Mode_PA_l_t_b1!G4</f>
        <v>-6.992</v>
      </c>
      <c r="G15" s="73">
        <f>[23]Mode_PA_l_t_b1!H4</f>
        <v>569.44000000000005</v>
      </c>
      <c r="H15" s="74">
        <f>[23]Mode_PA_l_t_b1!I4</f>
        <v>7.5999999999999999E-12</v>
      </c>
      <c r="I15" s="88">
        <f>[23]Mode_PA_l_t_b1!J4</f>
        <v>3.7000000000000001E-11</v>
      </c>
      <c r="J15" s="76" t="str">
        <f>[23]Mode_PA_l_t_b1!K4</f>
        <v>p&lt;0.0001</v>
      </c>
      <c r="K15" s="181">
        <f t="shared" si="4"/>
        <v>5.7217019747110989</v>
      </c>
    </row>
    <row r="16" spans="1:53" ht="15.75" customHeight="1" thickBot="1" x14ac:dyDescent="0.25">
      <c r="A16" s="77" t="s">
        <v>3</v>
      </c>
      <c r="B16" s="77">
        <f>[24]Mode_PA_h_t_b1!C4</f>
        <v>-15.894</v>
      </c>
      <c r="C16" s="77">
        <f>[24]Mode_PA_h_t_b1!D4</f>
        <v>-24.4634504601336</v>
      </c>
      <c r="D16" s="77">
        <f>[24]Mode_PA_h_t_b1!E4</f>
        <v>-7.3249491108301799</v>
      </c>
      <c r="E16" s="73">
        <f>[24]Mode_PA_h_t_b1!F4</f>
        <v>4.3630000000000004</v>
      </c>
      <c r="F16" s="74">
        <f>[24]Mode_PA_h_t_b1!G4</f>
        <v>-3.6429999999999998</v>
      </c>
      <c r="G16" s="73">
        <f>[24]Mode_PA_h_t_b1!H4</f>
        <v>610.35</v>
      </c>
      <c r="H16" s="88">
        <f>[24]Mode_PA_h_t_b1!I4</f>
        <v>2.9E-4</v>
      </c>
      <c r="I16" s="75">
        <f>[24]Mode_PA_h_t_b1!J4</f>
        <v>8.0000000000000004E-4</v>
      </c>
      <c r="J16" s="76" t="str">
        <f>[24]Mode_PA_h_t_b1!K4</f>
        <v>p&lt;0.001</v>
      </c>
      <c r="K16" s="181">
        <f t="shared" si="4"/>
        <v>8.5694504601336003</v>
      </c>
    </row>
    <row r="17" spans="1:53" ht="15.75" customHeight="1" thickTop="1" thickBot="1" x14ac:dyDescent="0.25">
      <c r="A17" s="65" t="s">
        <v>37</v>
      </c>
      <c r="B17" s="65" t="str">
        <f t="shared" ref="B17:H17" si="5">B2</f>
        <v>est.</v>
      </c>
      <c r="C17" s="65" t="str">
        <f t="shared" si="5"/>
        <v>2.5% CI</v>
      </c>
      <c r="D17" s="65" t="str">
        <f t="shared" si="5"/>
        <v>07.5% CI</v>
      </c>
      <c r="E17" s="65" t="str">
        <f t="shared" si="5"/>
        <v>std.error</v>
      </c>
      <c r="F17" s="65" t="str">
        <f t="shared" si="5"/>
        <v>t</v>
      </c>
      <c r="G17" s="85" t="str">
        <f t="shared" si="5"/>
        <v>df</v>
      </c>
      <c r="H17" s="66" t="str">
        <f t="shared" si="5"/>
        <v>p. val.</v>
      </c>
      <c r="I17" s="66" t="str">
        <f>I12</f>
        <v>p.adj.</v>
      </c>
      <c r="J17" s="66" t="str">
        <f>J2</f>
        <v>sig.</v>
      </c>
      <c r="K17" s="180" t="s">
        <v>64</v>
      </c>
    </row>
    <row r="18" spans="1:53" ht="15.75" customHeight="1" thickTop="1" x14ac:dyDescent="0.2">
      <c r="A18" s="68" t="s">
        <v>41</v>
      </c>
      <c r="B18" s="68">
        <f>[21]Mode_PA_l_f0_b1!C5</f>
        <v>1.1020000000000001</v>
      </c>
      <c r="C18" s="68">
        <f>[21]Mode_PA_l_f0_b1!D5</f>
        <v>0.81076147454720304</v>
      </c>
      <c r="D18" s="68">
        <f>[21]Mode_PA_l_f0_b1!E5</f>
        <v>1.3932656436680999</v>
      </c>
      <c r="E18" s="68">
        <f>[21]Mode_PA_l_f0_b1!F5</f>
        <v>0.14799999999999999</v>
      </c>
      <c r="F18" s="69">
        <f>[21]Mode_PA_l_f0_b1!G5</f>
        <v>7.431</v>
      </c>
      <c r="G18" s="68">
        <f>[21]Mode_PA_l_f0_b1!H5</f>
        <v>599.04</v>
      </c>
      <c r="H18" s="68">
        <f>[21]Mode_PA_l_f0_b1!I5</f>
        <v>3.6999999999999999E-13</v>
      </c>
      <c r="I18" s="87">
        <f>[21]Mode_PA_l_f0_b1!J5</f>
        <v>2E-12</v>
      </c>
      <c r="J18" s="71" t="str">
        <f>[21]Mode_PA_l_f0_b1!K5</f>
        <v>p&lt;0.0001</v>
      </c>
      <c r="K18" s="181">
        <f>B18-C18</f>
        <v>0.29123852545279705</v>
      </c>
    </row>
    <row r="19" spans="1:53" ht="15.75" customHeight="1" x14ac:dyDescent="0.2">
      <c r="A19" s="73" t="s">
        <v>42</v>
      </c>
      <c r="B19" s="73">
        <f>[22]Mode_PA_h_f0_b1!C5</f>
        <v>0.71199999999999997</v>
      </c>
      <c r="C19" s="73">
        <f>[22]Mode_PA_h_f0_b1!D5</f>
        <v>0.28494370098336003</v>
      </c>
      <c r="D19" s="73">
        <f>[22]Mode_PA_h_f0_b1!E5</f>
        <v>1.1385468689305001</v>
      </c>
      <c r="E19" s="73">
        <f>[22]Mode_PA_h_f0_b1!F5</f>
        <v>0.217</v>
      </c>
      <c r="F19" s="74">
        <f>[22]Mode_PA_h_f0_b1!G5</f>
        <v>3.2749999999999999</v>
      </c>
      <c r="G19" s="73">
        <f>[22]Mode_PA_h_f0_b1!H5</f>
        <v>610.1</v>
      </c>
      <c r="H19" s="75">
        <f>[22]Mode_PA_h_f0_b1!I5</f>
        <v>1E-3</v>
      </c>
      <c r="I19" s="75">
        <f>[22]Mode_PA_h_f0_b1!J5</f>
        <v>2E-3</v>
      </c>
      <c r="J19" s="76" t="str">
        <f>[22]Mode_PA_h_f0_b1!K5</f>
        <v>p&lt;0.01</v>
      </c>
      <c r="K19" s="181">
        <f t="shared" ref="K19:K21" si="6">B19-C19</f>
        <v>0.42705629901663994</v>
      </c>
    </row>
    <row r="20" spans="1:53" ht="15.75" customHeight="1" x14ac:dyDescent="0.2">
      <c r="A20" s="77" t="s">
        <v>4</v>
      </c>
      <c r="B20" s="77">
        <f>[23]Mode_PA_l_t_b1!C5</f>
        <v>1.744</v>
      </c>
      <c r="C20" s="77">
        <f>[23]Mode_PA_l_t_b1!D5</f>
        <v>-2.5541235585089601</v>
      </c>
      <c r="D20" s="77">
        <f>[23]Mode_PA_l_t_b1!E5</f>
        <v>6.0413286631581498</v>
      </c>
      <c r="E20" s="73">
        <f>[23]Mode_PA_l_t_b1!F5</f>
        <v>2.1880000000000002</v>
      </c>
      <c r="F20" s="74">
        <f>[23]Mode_PA_l_t_b1!G5</f>
        <v>0.79700000000000004</v>
      </c>
      <c r="G20" s="73">
        <f>[23]Mode_PA_l_t_b1!H5</f>
        <v>605.33000000000004</v>
      </c>
      <c r="H20" s="75">
        <f>[23]Mode_PA_l_t_b1!I5</f>
        <v>0.42599999999999999</v>
      </c>
      <c r="I20" s="75">
        <f>[23]Mode_PA_l_t_b1!J5</f>
        <v>0.53</v>
      </c>
      <c r="J20" s="76">
        <f>[23]Mode_PA_l_t_b1!K5</f>
        <v>0</v>
      </c>
      <c r="K20" s="181">
        <f t="shared" si="6"/>
        <v>4.2981235585089603</v>
      </c>
    </row>
    <row r="21" spans="1:53" ht="15.75" customHeight="1" thickBot="1" x14ac:dyDescent="0.25">
      <c r="A21" s="77" t="s">
        <v>3</v>
      </c>
      <c r="B21" s="77">
        <f>[24]Mode_PA_h_t_b1!C5</f>
        <v>0.372</v>
      </c>
      <c r="C21" s="77">
        <f>[24]Mode_PA_h_t_b1!D5</f>
        <v>-5.99640455897738</v>
      </c>
      <c r="D21" s="77">
        <f>[24]Mode_PA_h_t_b1!E5</f>
        <v>6.7401184461608503</v>
      </c>
      <c r="E21" s="73">
        <f>[24]Mode_PA_h_t_b1!F5</f>
        <v>3.2429999999999999</v>
      </c>
      <c r="F21" s="74">
        <f>[24]Mode_PA_h_t_b1!G5</f>
        <v>0.115</v>
      </c>
      <c r="G21" s="73">
        <f>[24]Mode_PA_h_t_b1!H5</f>
        <v>608.4</v>
      </c>
      <c r="H21" s="75">
        <f>[24]Mode_PA_h_t_b1!I5</f>
        <v>0.90900000000000003</v>
      </c>
      <c r="I21" s="75">
        <f>[24]Mode_PA_h_t_b1!J5</f>
        <v>0.93799999999999994</v>
      </c>
      <c r="J21" s="76">
        <f>[24]Mode_PA_h_t_b1!K5</f>
        <v>0</v>
      </c>
      <c r="K21" s="181">
        <f t="shared" si="6"/>
        <v>6.3684045589773799</v>
      </c>
    </row>
    <row r="22" spans="1:53" ht="15.75" customHeight="1" thickTop="1" thickBot="1" x14ac:dyDescent="0.25">
      <c r="A22" s="65" t="s">
        <v>38</v>
      </c>
      <c r="B22" s="65" t="str">
        <f t="shared" ref="B22:H22" si="7">B2</f>
        <v>est.</v>
      </c>
      <c r="C22" s="65" t="str">
        <f t="shared" si="7"/>
        <v>2.5% CI</v>
      </c>
      <c r="D22" s="65" t="str">
        <f t="shared" si="7"/>
        <v>07.5% CI</v>
      </c>
      <c r="E22" s="65" t="str">
        <f t="shared" si="7"/>
        <v>std.error</v>
      </c>
      <c r="F22" s="65" t="str">
        <f t="shared" si="7"/>
        <v>t</v>
      </c>
      <c r="G22" s="85" t="str">
        <f t="shared" si="7"/>
        <v>df</v>
      </c>
      <c r="H22" s="66" t="str">
        <f t="shared" si="7"/>
        <v>p. val.</v>
      </c>
      <c r="I22" s="66" t="s">
        <v>40</v>
      </c>
      <c r="J22" s="66" t="str">
        <f>J2</f>
        <v>sig.</v>
      </c>
      <c r="K22" s="180" t="s">
        <v>64</v>
      </c>
    </row>
    <row r="23" spans="1:53" ht="15.75" customHeight="1" thickTop="1" x14ac:dyDescent="0.2">
      <c r="A23" s="68" t="s">
        <v>41</v>
      </c>
      <c r="B23" s="68">
        <f>[21]Mode_PA_l_f0_b1!C6</f>
        <v>0.95599999999999996</v>
      </c>
      <c r="C23" s="68">
        <f>[21]Mode_PA_l_f0_b1!D6</f>
        <v>0.54997486140528795</v>
      </c>
      <c r="D23" s="68">
        <f>[21]Mode_PA_l_f0_b1!E6</f>
        <v>1.36201922907551</v>
      </c>
      <c r="E23" s="68">
        <f>[21]Mode_PA_l_f0_b1!F6</f>
        <v>0.20699999999999999</v>
      </c>
      <c r="F23" s="69">
        <f>[21]Mode_PA_l_f0_b1!G6</f>
        <v>4.6239999999999997</v>
      </c>
      <c r="G23" s="68">
        <f>[21]Mode_PA_l_f0_b1!H6</f>
        <v>600.49</v>
      </c>
      <c r="H23" s="68">
        <f>[21]Mode_PA_l_f0_b1!I6</f>
        <v>4.6E-6</v>
      </c>
      <c r="I23" s="87">
        <f>[21]Mode_PA_l_f0_b1!J6</f>
        <v>1.5E-5</v>
      </c>
      <c r="J23" s="71" t="str">
        <f>[21]Mode_PA_l_f0_b1!K6</f>
        <v>p&lt;0.0001</v>
      </c>
      <c r="K23" s="181">
        <f>B23-C23</f>
        <v>0.40602513859471201</v>
      </c>
    </row>
    <row r="24" spans="1:53" ht="15.75" customHeight="1" x14ac:dyDescent="0.2">
      <c r="A24" s="73" t="s">
        <v>42</v>
      </c>
      <c r="B24" s="73">
        <f>[22]Mode_PA_h_f0_b1!C6</f>
        <v>1.883</v>
      </c>
      <c r="C24" s="73">
        <f>[22]Mode_PA_h_f0_b1!D6</f>
        <v>1.3076358441581</v>
      </c>
      <c r="D24" s="73">
        <f>[22]Mode_PA_h_f0_b1!E6</f>
        <v>2.4573911118231799</v>
      </c>
      <c r="E24" s="73">
        <f>[22]Mode_PA_h_f0_b1!F6</f>
        <v>0.29299999999999998</v>
      </c>
      <c r="F24" s="74">
        <f>[22]Mode_PA_h_f0_b1!G6</f>
        <v>6.431</v>
      </c>
      <c r="G24" s="73">
        <f>[22]Mode_PA_h_f0_b1!H6</f>
        <v>611.84</v>
      </c>
      <c r="H24" s="73">
        <f>[22]Mode_PA_h_f0_b1!I6</f>
        <v>2.5999999999999998E-10</v>
      </c>
      <c r="I24" s="88">
        <f>[22]Mode_PA_h_f0_b1!J6</f>
        <v>1.0999999999999999E-9</v>
      </c>
      <c r="J24" s="76" t="str">
        <f>[22]Mode_PA_h_f0_b1!K6</f>
        <v>p&lt;0.0001</v>
      </c>
      <c r="K24" s="181">
        <f t="shared" ref="K24:K26" si="8">B24-C24</f>
        <v>0.57536415584190004</v>
      </c>
    </row>
    <row r="25" spans="1:53" ht="15.75" customHeight="1" x14ac:dyDescent="0.2">
      <c r="A25" s="77" t="s">
        <v>4</v>
      </c>
      <c r="B25" s="77">
        <f>[23]Mode_PA_l_t_b1!C6</f>
        <v>-20.690999999999999</v>
      </c>
      <c r="C25" s="77">
        <f>[23]Mode_PA_l_t_b1!D6</f>
        <v>-26.419836528801198</v>
      </c>
      <c r="D25" s="77">
        <f>[23]Mode_PA_l_t_b1!E6</f>
        <v>-14.9620935641854</v>
      </c>
      <c r="E25" s="73">
        <f>[23]Mode_PA_l_t_b1!F6</f>
        <v>2.9169999999999998</v>
      </c>
      <c r="F25" s="74">
        <f>[23]Mode_PA_l_t_b1!G6</f>
        <v>-7.0940000000000003</v>
      </c>
      <c r="G25" s="73">
        <f>[23]Mode_PA_l_t_b1!H6</f>
        <v>568.01</v>
      </c>
      <c r="H25" s="75">
        <f>[23]Mode_PA_l_t_b1!I6</f>
        <v>3.8999999999999999E-12</v>
      </c>
      <c r="I25" s="88">
        <f>[23]Mode_PA_l_t_b1!J6</f>
        <v>1.9999999999999999E-11</v>
      </c>
      <c r="J25" s="76" t="str">
        <f>[23]Mode_PA_l_t_b1!K6</f>
        <v>p&lt;0.0001</v>
      </c>
      <c r="K25" s="181">
        <f t="shared" si="8"/>
        <v>5.7288365288011995</v>
      </c>
    </row>
    <row r="26" spans="1:53" ht="15.75" customHeight="1" thickBot="1" x14ac:dyDescent="0.25">
      <c r="A26" s="77" t="s">
        <v>3</v>
      </c>
      <c r="B26" s="77">
        <f>[24]Mode_PA_h_t_b1!C6</f>
        <v>-15.443</v>
      </c>
      <c r="C26" s="77">
        <f>[24]Mode_PA_h_t_b1!D6</f>
        <v>-24.026925119708402</v>
      </c>
      <c r="D26" s="77">
        <f>[24]Mode_PA_h_t_b1!E6</f>
        <v>-6.8588102465743397</v>
      </c>
      <c r="E26" s="73">
        <f>[24]Mode_PA_h_t_b1!F6</f>
        <v>4.3710000000000004</v>
      </c>
      <c r="F26" s="74">
        <f>[24]Mode_PA_h_t_b1!G6</f>
        <v>-3.5329999999999999</v>
      </c>
      <c r="G26" s="73">
        <f>[24]Mode_PA_h_t_b1!H6</f>
        <v>610.44000000000005</v>
      </c>
      <c r="H26" s="88">
        <f>[24]Mode_PA_h_t_b1!I6</f>
        <v>4.4000000000000002E-4</v>
      </c>
      <c r="I26" s="75">
        <f>[24]Mode_PA_h_t_b1!J6</f>
        <v>1E-3</v>
      </c>
      <c r="J26" s="76" t="str">
        <f>[24]Mode_PA_h_t_b1!K6</f>
        <v>p&lt;0.01</v>
      </c>
      <c r="K26" s="181">
        <f t="shared" si="8"/>
        <v>8.5839251197084021</v>
      </c>
    </row>
    <row r="27" spans="1:53" ht="15.75" customHeight="1" thickTop="1" thickBot="1" x14ac:dyDescent="0.25">
      <c r="A27" s="65" t="s">
        <v>39</v>
      </c>
      <c r="B27" s="65" t="str">
        <f t="shared" ref="B27:H27" si="9">B2</f>
        <v>est.</v>
      </c>
      <c r="C27" s="65" t="str">
        <f t="shared" si="9"/>
        <v>2.5% CI</v>
      </c>
      <c r="D27" s="65" t="str">
        <f t="shared" si="9"/>
        <v>07.5% CI</v>
      </c>
      <c r="E27" s="65" t="str">
        <f t="shared" si="9"/>
        <v>std.error</v>
      </c>
      <c r="F27" s="65" t="str">
        <f t="shared" si="9"/>
        <v>t</v>
      </c>
      <c r="G27" s="85" t="str">
        <f t="shared" si="9"/>
        <v>df</v>
      </c>
      <c r="H27" s="66" t="str">
        <f t="shared" si="9"/>
        <v>p. val.</v>
      </c>
      <c r="I27" s="66" t="s">
        <v>40</v>
      </c>
      <c r="J27" s="81" t="str">
        <f>J7</f>
        <v>sig.</v>
      </c>
      <c r="K27" s="180" t="s">
        <v>64</v>
      </c>
      <c r="L27" s="80"/>
      <c r="M27" s="80"/>
      <c r="N27" s="80"/>
      <c r="O27" s="79"/>
      <c r="P27" s="79"/>
      <c r="Q27" s="79"/>
      <c r="U27" s="80"/>
      <c r="V27" s="80"/>
      <c r="W27" s="80"/>
      <c r="X27" s="79"/>
      <c r="Y27" s="79"/>
      <c r="Z27" s="79"/>
      <c r="AD27" s="80"/>
      <c r="AE27" s="80"/>
      <c r="AF27" s="80"/>
      <c r="AG27" s="79"/>
      <c r="AH27" s="79"/>
      <c r="AI27" s="79"/>
      <c r="AM27" s="80"/>
      <c r="AN27" s="80"/>
      <c r="AO27" s="80"/>
      <c r="AP27" s="79"/>
      <c r="AQ27" s="79"/>
      <c r="AR27" s="79"/>
      <c r="AV27" s="80"/>
      <c r="AW27" s="80"/>
      <c r="AX27" s="80"/>
      <c r="AY27" s="79"/>
      <c r="AZ27" s="79"/>
      <c r="BA27" s="79"/>
    </row>
    <row r="28" spans="1:53" ht="15.75" customHeight="1" thickTop="1" x14ac:dyDescent="0.2">
      <c r="A28" s="68" t="s">
        <v>41</v>
      </c>
      <c r="B28" s="68">
        <f>[21]Mode_PA_l_f0_b1!C7</f>
        <v>-0.14599999999999999</v>
      </c>
      <c r="C28" s="68">
        <f>[21]Mode_PA_l_f0_b1!D7</f>
        <v>-0.56249167780578202</v>
      </c>
      <c r="D28" s="68">
        <f>[21]Mode_PA_l_f0_b1!E7</f>
        <v>0.270458625601048</v>
      </c>
      <c r="E28" s="69">
        <f>[21]Mode_PA_l_f0_b1!F7</f>
        <v>0.21199999999999999</v>
      </c>
      <c r="F28" s="69">
        <f>[21]Mode_PA_l_f0_b1!G7</f>
        <v>-0.68899999999999995</v>
      </c>
      <c r="G28" s="68">
        <f>[21]Mode_PA_l_f0_b1!H7</f>
        <v>600.35</v>
      </c>
      <c r="H28" s="70">
        <f>[21]Mode_PA_l_f0_b1!I7</f>
        <v>0.49099999999999999</v>
      </c>
      <c r="I28" s="70">
        <f>[21]Mode_PA_l_f0_b1!J7</f>
        <v>0.58799999999999997</v>
      </c>
      <c r="J28" s="71">
        <f>[21]Mode_PA_l_f0_b1!K7</f>
        <v>0</v>
      </c>
      <c r="K28" s="181">
        <f>B28-C28</f>
        <v>0.416491677805782</v>
      </c>
      <c r="L28" s="80"/>
      <c r="M28" s="80"/>
      <c r="N28" s="80"/>
      <c r="O28" s="79"/>
      <c r="P28" s="79"/>
      <c r="Q28" s="79"/>
      <c r="U28" s="80"/>
      <c r="V28" s="80"/>
      <c r="W28" s="80"/>
      <c r="X28" s="79"/>
      <c r="Y28" s="79"/>
      <c r="Z28" s="79"/>
      <c r="AD28" s="80"/>
      <c r="AE28" s="80"/>
      <c r="AF28" s="80"/>
      <c r="AG28" s="79"/>
      <c r="AH28" s="79"/>
      <c r="AI28" s="79"/>
      <c r="AM28" s="80"/>
      <c r="AN28" s="80"/>
      <c r="AO28" s="80"/>
      <c r="AP28" s="79"/>
      <c r="AQ28" s="79"/>
      <c r="AR28" s="79"/>
      <c r="AV28" s="80"/>
      <c r="AW28" s="80"/>
      <c r="AX28" s="80"/>
      <c r="AY28" s="79"/>
      <c r="AZ28" s="79"/>
      <c r="BA28" s="79"/>
    </row>
    <row r="29" spans="1:53" ht="15.75" customHeight="1" x14ac:dyDescent="0.2">
      <c r="A29" s="73" t="s">
        <v>42</v>
      </c>
      <c r="B29" s="73">
        <f>[22]Mode_PA_h_f0_b1!C7</f>
        <v>1.171</v>
      </c>
      <c r="C29" s="73">
        <f>[22]Mode_PA_h_f0_b1!D7</f>
        <v>0.57785820696894397</v>
      </c>
      <c r="D29" s="73">
        <f>[22]Mode_PA_h_f0_b1!E7</f>
        <v>1.7636781799102601</v>
      </c>
      <c r="E29" s="74">
        <f>[22]Mode_PA_h_f0_b1!F7</f>
        <v>0.30199999999999999</v>
      </c>
      <c r="F29" s="74">
        <f>[22]Mode_PA_h_f0_b1!G7</f>
        <v>3.8780000000000001</v>
      </c>
      <c r="G29" s="73">
        <f>[22]Mode_PA_h_f0_b1!H7</f>
        <v>611.64</v>
      </c>
      <c r="H29" s="88">
        <f>[22]Mode_PA_h_f0_b1!I7</f>
        <v>1.2E-4</v>
      </c>
      <c r="I29" s="88">
        <f>[22]Mode_PA_h_f0_b1!J7</f>
        <v>3.8000000000000002E-4</v>
      </c>
      <c r="J29" s="76" t="str">
        <f>[22]Mode_PA_h_f0_b1!K7</f>
        <v>p&lt;0.001</v>
      </c>
      <c r="K29" s="181">
        <f t="shared" ref="K29:K31" si="10">B29-C29</f>
        <v>0.59314179303105607</v>
      </c>
      <c r="L29" s="80"/>
      <c r="M29" s="80"/>
      <c r="N29" s="80"/>
      <c r="O29" s="79"/>
      <c r="P29" s="79"/>
      <c r="Q29" s="79"/>
      <c r="U29" s="80"/>
      <c r="V29" s="80"/>
      <c r="W29" s="80"/>
      <c r="X29" s="79"/>
      <c r="Y29" s="79"/>
      <c r="Z29" s="79"/>
      <c r="AD29" s="80"/>
      <c r="AE29" s="80"/>
      <c r="AF29" s="80"/>
      <c r="AG29" s="79"/>
      <c r="AH29" s="79"/>
      <c r="AI29" s="79"/>
      <c r="AM29" s="80"/>
      <c r="AN29" s="80"/>
      <c r="AO29" s="80"/>
      <c r="AP29" s="79"/>
      <c r="AQ29" s="79"/>
      <c r="AR29" s="79"/>
      <c r="AV29" s="80"/>
      <c r="AW29" s="80"/>
      <c r="AX29" s="80"/>
      <c r="AY29" s="79"/>
      <c r="AZ29" s="79"/>
      <c r="BA29" s="79"/>
    </row>
    <row r="30" spans="1:53" ht="15.75" customHeight="1" x14ac:dyDescent="0.2">
      <c r="A30" s="77" t="s">
        <v>4</v>
      </c>
      <c r="B30" s="77">
        <f>[23]Mode_PA_l_t_b1!C7</f>
        <v>-22.434999999999999</v>
      </c>
      <c r="C30" s="77">
        <f>[23]Mode_PA_l_t_b1!D7</f>
        <v>-28.356812442248</v>
      </c>
      <c r="D30" s="77">
        <f>[23]Mode_PA_l_t_b1!E7</f>
        <v>-16.512322761843802</v>
      </c>
      <c r="E30" s="73">
        <f>[23]Mode_PA_l_t_b1!F7</f>
        <v>3.0150000000000001</v>
      </c>
      <c r="F30" s="74">
        <f>[23]Mode_PA_l_t_b1!G7</f>
        <v>-7.44</v>
      </c>
      <c r="G30" s="73">
        <f>[23]Mode_PA_l_t_b1!H7</f>
        <v>578.39</v>
      </c>
      <c r="H30" s="74">
        <f>[23]Mode_PA_l_t_b1!I7</f>
        <v>3.6999999999999999E-13</v>
      </c>
      <c r="I30" s="88">
        <f>[23]Mode_PA_l_t_b1!J7</f>
        <v>2E-12</v>
      </c>
      <c r="J30" s="76" t="str">
        <f>[23]Mode_PA_l_t_b1!K7</f>
        <v>p&lt;0.0001</v>
      </c>
      <c r="K30" s="181">
        <f t="shared" si="10"/>
        <v>5.921812442248001</v>
      </c>
      <c r="L30" s="80"/>
      <c r="M30" s="80"/>
      <c r="N30" s="80"/>
      <c r="O30" s="79"/>
      <c r="P30" s="79"/>
      <c r="Q30" s="79"/>
      <c r="U30" s="80"/>
      <c r="V30" s="80"/>
      <c r="W30" s="80"/>
      <c r="X30" s="79"/>
      <c r="Y30" s="79"/>
      <c r="Z30" s="79"/>
      <c r="AD30" s="80"/>
      <c r="AE30" s="80"/>
      <c r="AF30" s="80"/>
      <c r="AG30" s="79"/>
      <c r="AH30" s="79"/>
      <c r="AI30" s="79"/>
      <c r="AM30" s="80"/>
      <c r="AN30" s="80"/>
      <c r="AO30" s="80"/>
      <c r="AP30" s="79"/>
      <c r="AQ30" s="79"/>
      <c r="AR30" s="79"/>
      <c r="AV30" s="80"/>
      <c r="AW30" s="80"/>
      <c r="AX30" s="80"/>
      <c r="AY30" s="79"/>
      <c r="AZ30" s="79"/>
      <c r="BA30" s="79"/>
    </row>
    <row r="31" spans="1:53" ht="15.75" customHeight="1" x14ac:dyDescent="0.2">
      <c r="A31" s="77" t="s">
        <v>3</v>
      </c>
      <c r="B31" s="77">
        <f>[24]Mode_PA_h_t_b1!C7</f>
        <v>-15.815</v>
      </c>
      <c r="C31" s="77">
        <f>[24]Mode_PA_h_t_b1!D7</f>
        <v>-24.6670214009829</v>
      </c>
      <c r="D31" s="77">
        <f>[24]Mode_PA_h_t_b1!E7</f>
        <v>-6.96242784827054</v>
      </c>
      <c r="E31" s="73">
        <f>[24]Mode_PA_h_t_b1!F7</f>
        <v>4.508</v>
      </c>
      <c r="F31" s="74">
        <f>[24]Mode_PA_h_t_b1!G7</f>
        <v>-3.508</v>
      </c>
      <c r="G31" s="73">
        <f>[24]Mode_PA_h_t_b1!H7</f>
        <v>610.03</v>
      </c>
      <c r="H31" s="88">
        <f>[24]Mode_PA_h_t_b1!I7</f>
        <v>4.8000000000000001E-4</v>
      </c>
      <c r="I31" s="75">
        <f>[24]Mode_PA_h_t_b1!J7</f>
        <v>1E-3</v>
      </c>
      <c r="J31" s="76" t="str">
        <f>[24]Mode_PA_h_t_b1!K7</f>
        <v>p&lt;0.01</v>
      </c>
      <c r="K31" s="181">
        <f t="shared" si="10"/>
        <v>8.8520214009829008</v>
      </c>
      <c r="L31" s="80"/>
      <c r="M31" s="80"/>
      <c r="N31" s="80"/>
      <c r="O31" s="79"/>
      <c r="P31" s="79"/>
      <c r="Q31" s="79"/>
      <c r="U31" s="80"/>
      <c r="V31" s="80"/>
      <c r="W31" s="80"/>
      <c r="X31" s="79"/>
      <c r="Y31" s="79"/>
      <c r="Z31" s="79"/>
      <c r="AD31" s="80"/>
      <c r="AE31" s="80"/>
      <c r="AF31" s="80"/>
      <c r="AG31" s="79"/>
      <c r="AH31" s="79"/>
      <c r="AI31" s="79"/>
      <c r="AM31" s="80"/>
      <c r="AN31" s="80"/>
      <c r="AO31" s="80"/>
      <c r="AP31" s="79"/>
      <c r="AQ31" s="79"/>
      <c r="AR31" s="79"/>
      <c r="AV31" s="80"/>
      <c r="AW31" s="80"/>
      <c r="AX31" s="80"/>
      <c r="AY31" s="79"/>
      <c r="AZ31" s="79"/>
      <c r="BA31" s="79"/>
    </row>
  </sheetData>
  <mergeCells count="1">
    <mergeCell ref="A1:J1"/>
  </mergeCells>
  <conditionalFormatting sqref="H3:I6 H28:I31 H23:I26 H18:I21 H13:I16 H8:I11">
    <cfRule type="cellIs" dxfId="126" priority="15" stopIfTrue="1" operator="lessThan">
      <formula>0.0001</formula>
    </cfRule>
    <cfRule type="cellIs" dxfId="125" priority="16" stopIfTrue="1" operator="lessThan">
      <formula>0.001</formula>
    </cfRule>
    <cfRule type="cellIs" dxfId="124" priority="17" stopIfTrue="1" operator="lessThan">
      <formula>0.05</formula>
    </cfRule>
    <cfRule type="cellIs" dxfId="123" priority="18" stopIfTrue="1" operator="lessThan">
      <formula>0.1</formula>
    </cfRule>
  </conditionalFormatting>
  <conditionalFormatting sqref="J28:J31 J23:J26 J18:J21 J13:J16 J8:J11 J3:J6">
    <cfRule type="containsText" dxfId="122" priority="10" stopIfTrue="1" operator="containsText" text="p&lt;0.0001">
      <formula>NOT(ISERROR(SEARCH("p&lt;0.0001",J3)))</formula>
    </cfRule>
    <cfRule type="containsText" dxfId="121" priority="11" stopIfTrue="1" operator="containsText" text="p&lt;0.001">
      <formula>NOT(ISERROR(SEARCH("p&lt;0.001",J3)))</formula>
    </cfRule>
    <cfRule type="containsText" dxfId="120" priority="12" stopIfTrue="1" operator="containsText" text="p&lt;0.01">
      <formula>NOT(ISERROR(SEARCH("p&lt;0.01",J3)))</formula>
    </cfRule>
    <cfRule type="containsText" dxfId="119" priority="13" stopIfTrue="1" operator="containsText" text="p&lt;0.05">
      <formula>NOT(ISERROR(SEARCH("p&lt;0.05",J3)))</formula>
    </cfRule>
    <cfRule type="containsText" dxfId="118" priority="1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="85" zoomScaleNormal="85" workbookViewId="0">
      <selection activeCell="I31" sqref="I31"/>
    </sheetView>
  </sheetViews>
  <sheetFormatPr defaultRowHeight="15" x14ac:dyDescent="0.25"/>
  <cols>
    <col min="5" max="5" width="8.85546875" customWidth="1"/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29" spans="9:9" x14ac:dyDescent="0.25">
      <c r="I29" t="s">
        <v>52</v>
      </c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21"/>
  <sheetViews>
    <sheetView showGridLines="0" zoomScale="111" zoomScaleNormal="111" zoomScaleSheetLayoutView="47" workbookViewId="0">
      <selection activeCell="A21" sqref="A21"/>
    </sheetView>
  </sheetViews>
  <sheetFormatPr defaultColWidth="13.85546875" defaultRowHeight="12.75" x14ac:dyDescent="0.2"/>
  <cols>
    <col min="1" max="1" width="17.140625" style="228" customWidth="1"/>
    <col min="2" max="8" width="11.85546875" style="42" customWidth="1"/>
    <col min="9" max="10" width="11.85546875" style="43" customWidth="1"/>
    <col min="11" max="12" width="11.85546875" style="42" customWidth="1"/>
    <col min="13" max="14" width="11.85546875" style="44" customWidth="1"/>
    <col min="15" max="16" width="8.7109375" style="44" customWidth="1"/>
    <col min="17" max="17" width="11.42578125" style="44" customWidth="1"/>
    <col min="18" max="18" width="11.140625" style="45" customWidth="1"/>
    <col min="19" max="19" width="11.42578125" style="45" customWidth="1"/>
    <col min="20" max="21" width="7.7109375" style="44" customWidth="1"/>
    <col min="22" max="23" width="11.42578125" style="44" customWidth="1"/>
    <col min="24" max="25" width="8.7109375" style="44" customWidth="1"/>
    <col min="26" max="26" width="11.42578125" style="44" customWidth="1"/>
    <col min="27" max="27" width="11.140625" style="45" customWidth="1"/>
    <col min="28" max="28" width="11.42578125" style="45" customWidth="1"/>
    <col min="29" max="30" width="7.7109375" style="44" customWidth="1"/>
    <col min="31" max="32" width="11.42578125" style="44" customWidth="1"/>
    <col min="33" max="33" width="8.7109375" style="44" customWidth="1"/>
    <col min="34" max="35" width="11.42578125" style="44" customWidth="1"/>
    <col min="36" max="36" width="11.140625" style="45" customWidth="1"/>
    <col min="37" max="37" width="11.42578125" style="45" customWidth="1"/>
    <col min="38" max="39" width="11.42578125" style="44" customWidth="1"/>
    <col min="40" max="16384" width="13.85546875" style="46"/>
  </cols>
  <sheetData>
    <row r="1" spans="1:39" s="258" customFormat="1" ht="24" customHeight="1" thickBot="1" x14ac:dyDescent="0.35">
      <c r="A1" s="277" t="s">
        <v>75</v>
      </c>
      <c r="B1" s="277"/>
      <c r="C1" s="277"/>
      <c r="D1" s="277"/>
      <c r="E1" s="277"/>
      <c r="F1" s="277"/>
      <c r="G1" s="277"/>
      <c r="H1" s="277"/>
      <c r="I1" s="277"/>
      <c r="J1" s="277"/>
      <c r="K1" s="257"/>
      <c r="L1" s="278" t="s">
        <v>80</v>
      </c>
      <c r="M1" s="278"/>
      <c r="N1" s="278"/>
      <c r="R1" s="259"/>
      <c r="S1" s="259"/>
      <c r="AA1" s="259"/>
      <c r="AB1" s="259"/>
      <c r="AJ1" s="259"/>
      <c r="AK1" s="259"/>
    </row>
    <row r="2" spans="1:39" s="209" customFormat="1" ht="15.75" customHeight="1" thickTop="1" thickBot="1" x14ac:dyDescent="0.25">
      <c r="A2" s="47" t="s">
        <v>23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L2" s="47" t="s">
        <v>70</v>
      </c>
      <c r="M2" s="47" t="s">
        <v>71</v>
      </c>
      <c r="N2" s="47" t="s">
        <v>72</v>
      </c>
    </row>
    <row r="3" spans="1:39" s="212" customFormat="1" ht="15.75" customHeight="1" thickTop="1" thickBot="1" x14ac:dyDescent="0.25">
      <c r="A3" s="210" t="s">
        <v>41</v>
      </c>
      <c r="B3" s="210">
        <f>[13]Mode_PA_l_f0_b0!B6</f>
        <v>83.99</v>
      </c>
      <c r="C3" s="211">
        <f>[13]Mode_PA_l_f0_b0!C6</f>
        <v>80.453351074980304</v>
      </c>
      <c r="D3" s="211">
        <f>[13]Mode_PA_l_f0_b0!D6</f>
        <v>87.527230630068203</v>
      </c>
      <c r="E3" s="211">
        <f>[13]Mode_PA_l_f0_b0!E6</f>
        <v>1.623</v>
      </c>
      <c r="F3" s="211">
        <f>[13]Mode_PA_l_f0_b0!F6</f>
        <v>51.753</v>
      </c>
      <c r="G3" s="211">
        <f>[13]Mode_PA_l_f0_b0!G6</f>
        <v>11.97</v>
      </c>
      <c r="H3" s="99">
        <f>[13]Mode_PA_l_f0_b0!H6</f>
        <v>1.9000000000000001E-15</v>
      </c>
      <c r="I3" s="99">
        <f>[13]Mode_PA_l_f0_b0!I6</f>
        <v>1.1999999999999999E-14</v>
      </c>
      <c r="J3" s="97" t="str">
        <f>[13]Mode_PA_l_f0_b0!J6</f>
        <v>p&lt;0.0001</v>
      </c>
      <c r="L3" s="210" t="s">
        <v>41</v>
      </c>
      <c r="M3" s="250">
        <v>0.59399956709452595</v>
      </c>
      <c r="N3" s="250">
        <v>0.94023014769888502</v>
      </c>
    </row>
    <row r="4" spans="1:39" s="212" customFormat="1" ht="15.75" customHeight="1" thickBot="1" x14ac:dyDescent="0.25">
      <c r="A4" s="213" t="s">
        <v>42</v>
      </c>
      <c r="B4" s="213">
        <f>[15]Mode_PA_h_f0_b0!B6</f>
        <v>90.16</v>
      </c>
      <c r="C4" s="214">
        <f>[15]Mode_PA_h_f0_b0!C6</f>
        <v>86.123043762318801</v>
      </c>
      <c r="D4" s="214">
        <f>[15]Mode_PA_h_f0_b0!D6</f>
        <v>94.197953690226399</v>
      </c>
      <c r="E4" s="214">
        <f>[15]Mode_PA_h_f0_b0!E6</f>
        <v>1.8029999999999999</v>
      </c>
      <c r="F4" s="214">
        <f>[15]Mode_PA_h_f0_b0!F6</f>
        <v>50.005000000000003</v>
      </c>
      <c r="G4" s="214">
        <f>[15]Mode_PA_h_f0_b0!G6</f>
        <v>9.65</v>
      </c>
      <c r="H4" s="215">
        <f>[15]Mode_PA_h_f0_b0!H6</f>
        <v>5.6000000000000004E-13</v>
      </c>
      <c r="I4" s="215">
        <f>[15]Mode_PA_h_f0_b0!I6</f>
        <v>1.2999999999999999E-12</v>
      </c>
      <c r="J4" s="225" t="str">
        <f>[15]Mode_PA_h_f0_b0!J6</f>
        <v>p&lt;0.0001</v>
      </c>
      <c r="L4" s="213" t="s">
        <v>42</v>
      </c>
      <c r="M4" s="251">
        <v>0.54939616986129103</v>
      </c>
      <c r="N4" s="251">
        <v>0.90539546314142305</v>
      </c>
    </row>
    <row r="5" spans="1:39" ht="15.75" customHeight="1" thickBot="1" x14ac:dyDescent="0.25">
      <c r="A5" s="216" t="s">
        <v>4</v>
      </c>
      <c r="B5" s="216">
        <f>[17]Mode_PA_l_t_b0!B6</f>
        <v>67.408000000000001</v>
      </c>
      <c r="C5" s="216">
        <f>[17]Mode_PA_l_t_b0!C6</f>
        <v>45.906075043170702</v>
      </c>
      <c r="D5" s="216">
        <f>[17]Mode_PA_l_t_b0!D6</f>
        <v>88.909427524989596</v>
      </c>
      <c r="E5" s="210">
        <f>[17]Mode_PA_l_t_b0!E6</f>
        <v>9.8879999999999999</v>
      </c>
      <c r="F5" s="211">
        <f>[17]Mode_PA_l_t_b0!F6</f>
        <v>6.8170000000000002</v>
      </c>
      <c r="G5" s="211">
        <f>[17]Mode_PA_l_t_b0!G6</f>
        <v>12.22</v>
      </c>
      <c r="H5" s="99">
        <f>[17]Mode_PA_l_t_b0!H6</f>
        <v>1.7E-5</v>
      </c>
      <c r="I5" s="99">
        <f>[17]Mode_PA_l_t_b0!I6</f>
        <v>2.8E-5</v>
      </c>
      <c r="J5" s="226" t="str">
        <f>[17]Mode_PA_l_t_b0!J6</f>
        <v>p&lt;0.0001</v>
      </c>
      <c r="K5" s="46"/>
      <c r="L5" s="216" t="s">
        <v>4</v>
      </c>
      <c r="M5" s="250">
        <v>0.60768973596170595</v>
      </c>
      <c r="N5" s="250">
        <v>0.76784989368498202</v>
      </c>
    </row>
    <row r="6" spans="1:39" ht="15.75" customHeight="1" thickBot="1" x14ac:dyDescent="0.25">
      <c r="A6" s="217" t="s">
        <v>3</v>
      </c>
      <c r="B6" s="217">
        <f>[19]Mode_PA_h_t_b0!B6</f>
        <v>268.214</v>
      </c>
      <c r="C6" s="217">
        <f>[19]Mode_PA_h_t_b0!C6</f>
        <v>187.77360112485999</v>
      </c>
      <c r="D6" s="217">
        <f>[19]Mode_PA_h_t_b0!D6</f>
        <v>348.655341966148</v>
      </c>
      <c r="E6" s="218">
        <f>[19]Mode_PA_h_t_b0!E6</f>
        <v>30.707999999999998</v>
      </c>
      <c r="F6" s="219">
        <f>[19]Mode_PA_h_t_b0!F6</f>
        <v>8.734</v>
      </c>
      <c r="G6" s="219">
        <f>[19]Mode_PA_h_t_b0!G6</f>
        <v>4.71</v>
      </c>
      <c r="H6" s="220">
        <f>[19]Mode_PA_h_t_b0!H6</f>
        <v>4.4000000000000002E-4</v>
      </c>
      <c r="I6" s="220">
        <f>[19]Mode_PA_h_t_b0!I6</f>
        <v>5.2999999999999998E-4</v>
      </c>
      <c r="J6" s="227" t="str">
        <f>[19]Mode_PA_h_t_b0!J6</f>
        <v>p&lt;0.001</v>
      </c>
      <c r="K6" s="46">
        <f>D6-C6</f>
        <v>160.88174084128801</v>
      </c>
      <c r="L6" s="217" t="s">
        <v>3</v>
      </c>
      <c r="M6" s="252">
        <v>0.30551322079765297</v>
      </c>
      <c r="N6" s="252">
        <v>0.84349336767445005</v>
      </c>
    </row>
    <row r="7" spans="1:39" ht="15.75" customHeight="1" thickTop="1" thickBot="1" x14ac:dyDescent="0.25">
      <c r="A7" s="47" t="s">
        <v>24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07.5% CI</v>
      </c>
      <c r="E7" s="47" t="str">
        <f t="shared" si="0"/>
        <v>std.error</v>
      </c>
      <c r="F7" s="47" t="str">
        <f t="shared" si="0"/>
        <v>t</v>
      </c>
      <c r="G7" s="221" t="str">
        <f t="shared" si="0"/>
        <v>df</v>
      </c>
      <c r="H7" s="48" t="str">
        <f t="shared" si="0"/>
        <v>p. val.</v>
      </c>
      <c r="I7" s="48" t="str">
        <f t="shared" si="0"/>
        <v>p.adj.</v>
      </c>
      <c r="J7" s="48" t="str">
        <f t="shared" si="0"/>
        <v>sig.</v>
      </c>
      <c r="K7" s="44"/>
      <c r="L7" s="44"/>
      <c r="P7" s="45"/>
      <c r="Q7" s="45"/>
      <c r="R7" s="44"/>
      <c r="S7" s="44"/>
      <c r="Y7" s="45"/>
      <c r="Z7" s="45"/>
      <c r="AA7" s="44"/>
      <c r="AB7" s="44"/>
      <c r="AH7" s="45"/>
      <c r="AI7" s="45"/>
      <c r="AJ7" s="44"/>
      <c r="AK7" s="44"/>
      <c r="AL7" s="46"/>
      <c r="AM7" s="46"/>
    </row>
    <row r="8" spans="1:39" ht="15.75" customHeight="1" thickTop="1" thickBot="1" x14ac:dyDescent="0.25">
      <c r="A8" s="210" t="s">
        <v>41</v>
      </c>
      <c r="B8" s="210">
        <f>[13]Mode_PA_l_f0_b0!B7</f>
        <v>86.87</v>
      </c>
      <c r="C8" s="210">
        <f>[13]Mode_PA_l_f0_b0!C7</f>
        <v>83.113022861423701</v>
      </c>
      <c r="D8" s="210">
        <f>[13]Mode_PA_l_f0_b0!D7</f>
        <v>90.627605751172297</v>
      </c>
      <c r="E8" s="211">
        <f>[13]Mode_PA_l_f0_b0!E7</f>
        <v>1.7849999999999999</v>
      </c>
      <c r="F8" s="211">
        <f>[13]Mode_PA_l_f0_b0!F7</f>
        <v>48.677999999999997</v>
      </c>
      <c r="G8" s="211">
        <f>[13]Mode_PA_l_f0_b0!G7</f>
        <v>17.48</v>
      </c>
      <c r="H8" s="99">
        <f>[13]Mode_PA_l_f0_b0!H7</f>
        <v>4.1000000000000001E-20</v>
      </c>
      <c r="I8" s="99">
        <f>[13]Mode_PA_l_f0_b0!I7</f>
        <v>2.6E-18</v>
      </c>
      <c r="J8" s="97" t="str">
        <f>[13]Mode_PA_l_f0_b0!J7</f>
        <v>p&lt;0.0001</v>
      </c>
      <c r="K8" s="44"/>
      <c r="L8" s="44"/>
      <c r="P8" s="45"/>
      <c r="Q8" s="45"/>
      <c r="R8" s="44"/>
      <c r="S8" s="44"/>
      <c r="Y8" s="45"/>
      <c r="Z8" s="45"/>
      <c r="AA8" s="44"/>
      <c r="AB8" s="44"/>
      <c r="AH8" s="45"/>
      <c r="AI8" s="45"/>
      <c r="AJ8" s="44"/>
      <c r="AK8" s="44"/>
      <c r="AL8" s="46"/>
      <c r="AM8" s="46"/>
    </row>
    <row r="9" spans="1:39" ht="15.75" customHeight="1" thickBot="1" x14ac:dyDescent="0.25">
      <c r="A9" s="213" t="s">
        <v>42</v>
      </c>
      <c r="B9" s="213">
        <f>[15]Mode_PA_h_f0_b0!B7</f>
        <v>89.887</v>
      </c>
      <c r="C9" s="213">
        <f>[15]Mode_PA_h_f0_b0!C7</f>
        <v>85.459720294364303</v>
      </c>
      <c r="D9" s="213">
        <f>[15]Mode_PA_h_f0_b0!D7</f>
        <v>94.315126046853607</v>
      </c>
      <c r="E9" s="214">
        <f>[15]Mode_PA_h_f0_b0!E7</f>
        <v>2.1070000000000002</v>
      </c>
      <c r="F9" s="214">
        <f>[15]Mode_PA_h_f0_b0!F7</f>
        <v>42.664000000000001</v>
      </c>
      <c r="G9" s="214">
        <f>[15]Mode_PA_h_f0_b0!G7</f>
        <v>17.920000000000002</v>
      </c>
      <c r="H9" s="215">
        <f>[15]Mode_PA_h_f0_b0!H7</f>
        <v>1.8000000000000001E-19</v>
      </c>
      <c r="I9" s="215">
        <f>[15]Mode_PA_h_f0_b0!I7</f>
        <v>5.8E-18</v>
      </c>
      <c r="J9" s="225" t="str">
        <f>[15]Mode_PA_h_f0_b0!J7</f>
        <v>p&lt;0.0001</v>
      </c>
      <c r="K9" s="44"/>
      <c r="L9" s="44"/>
      <c r="P9" s="45"/>
      <c r="Q9" s="45"/>
      <c r="R9" s="44"/>
      <c r="S9" s="44"/>
      <c r="Y9" s="45"/>
      <c r="Z9" s="45"/>
      <c r="AA9" s="44"/>
      <c r="AB9" s="44"/>
      <c r="AH9" s="45"/>
      <c r="AI9" s="45"/>
      <c r="AJ9" s="44"/>
      <c r="AK9" s="44"/>
      <c r="AL9" s="46"/>
      <c r="AM9" s="46"/>
    </row>
    <row r="10" spans="1:39" ht="15.75" customHeight="1" thickBot="1" x14ac:dyDescent="0.25">
      <c r="A10" s="216" t="s">
        <v>4</v>
      </c>
      <c r="B10" s="216">
        <f>[17]Mode_PA_l_t_b0!B7</f>
        <v>81.248999999999995</v>
      </c>
      <c r="C10" s="216">
        <f>[17]Mode_PA_l_t_b0!C7</f>
        <v>51.745674146421401</v>
      </c>
      <c r="D10" s="216">
        <f>[17]Mode_PA_l_t_b0!D7</f>
        <v>110.7528902249</v>
      </c>
      <c r="E10" s="211">
        <f>[17]Mode_PA_l_t_b0!E7</f>
        <v>14.737</v>
      </c>
      <c r="F10" s="211">
        <f>[17]Mode_PA_l_t_b0!F7</f>
        <v>5.5129999999999999</v>
      </c>
      <c r="G10" s="211">
        <f>[17]Mode_PA_l_t_b0!G7</f>
        <v>57.6</v>
      </c>
      <c r="H10" s="99">
        <f>[17]Mode_PA_l_t_b0!H7</f>
        <v>8.7000000000000003E-7</v>
      </c>
      <c r="I10" s="99">
        <f>[17]Mode_PA_l_t_b0!I7</f>
        <v>1.7E-6</v>
      </c>
      <c r="J10" s="226" t="str">
        <f>[17]Mode_PA_l_t_b0!J7</f>
        <v>p&lt;0.0001</v>
      </c>
      <c r="K10" s="44"/>
      <c r="L10" s="44"/>
      <c r="P10" s="45"/>
      <c r="Q10" s="45"/>
      <c r="R10" s="44"/>
      <c r="S10" s="44"/>
      <c r="Y10" s="45"/>
      <c r="Z10" s="45"/>
      <c r="AA10" s="44"/>
      <c r="AB10" s="44"/>
      <c r="AH10" s="45"/>
      <c r="AI10" s="45"/>
      <c r="AJ10" s="44"/>
      <c r="AK10" s="44"/>
      <c r="AL10" s="46"/>
      <c r="AM10" s="46"/>
    </row>
    <row r="11" spans="1:39" ht="15.75" customHeight="1" thickBot="1" x14ac:dyDescent="0.25">
      <c r="A11" s="217" t="s">
        <v>3</v>
      </c>
      <c r="B11" s="217">
        <f>[19]Mode_PA_h_t_b0!B7</f>
        <v>218.333</v>
      </c>
      <c r="C11" s="217">
        <f>[19]Mode_PA_h_t_b0!C7</f>
        <v>137.65678545155001</v>
      </c>
      <c r="D11" s="217">
        <f>[19]Mode_PA_h_t_b0!D7</f>
        <v>299.00823125467798</v>
      </c>
      <c r="E11" s="219">
        <f>[19]Mode_PA_h_t_b0!E7</f>
        <v>34.774000000000001</v>
      </c>
      <c r="F11" s="219">
        <f>[19]Mode_PA_h_t_b0!F7</f>
        <v>6.2789999999999999</v>
      </c>
      <c r="G11" s="219">
        <f>[19]Mode_PA_h_t_b0!G7</f>
        <v>7.73</v>
      </c>
      <c r="H11" s="99">
        <f>[19]Mode_PA_h_t_b0!H7</f>
        <v>2.7E-4</v>
      </c>
      <c r="I11" s="99">
        <f>[19]Mode_PA_h_t_b0!I7</f>
        <v>4.0000000000000002E-4</v>
      </c>
      <c r="J11" s="227" t="str">
        <f>[19]Mode_PA_h_t_b0!J7</f>
        <v>p&lt;0.001</v>
      </c>
      <c r="K11" s="46">
        <f>D11-C11</f>
        <v>161.35144580312797</v>
      </c>
      <c r="L11" s="44"/>
      <c r="P11" s="45"/>
      <c r="Q11" s="45"/>
      <c r="R11" s="44"/>
      <c r="S11" s="44"/>
      <c r="Y11" s="45"/>
      <c r="Z11" s="45"/>
      <c r="AA11" s="44"/>
      <c r="AB11" s="44"/>
      <c r="AH11" s="45"/>
      <c r="AI11" s="45"/>
      <c r="AJ11" s="44"/>
      <c r="AK11" s="44"/>
      <c r="AL11" s="46"/>
      <c r="AM11" s="46"/>
    </row>
    <row r="12" spans="1:39" ht="15.75" customHeight="1" thickTop="1" thickBot="1" x14ac:dyDescent="0.25">
      <c r="A12" s="47" t="s">
        <v>25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07.5%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8" t="str">
        <f t="shared" si="1"/>
        <v>p. val.</v>
      </c>
      <c r="I12" s="48" t="str">
        <f t="shared" si="1"/>
        <v>p.adj.</v>
      </c>
      <c r="J12" s="48" t="str">
        <f t="shared" si="1"/>
        <v>sig.</v>
      </c>
      <c r="K12" s="44"/>
      <c r="L12" s="44"/>
      <c r="P12" s="45"/>
      <c r="Q12" s="45"/>
      <c r="R12" s="44"/>
      <c r="S12" s="44"/>
      <c r="Y12" s="45"/>
      <c r="Z12" s="45"/>
      <c r="AA12" s="44"/>
      <c r="AB12" s="44"/>
      <c r="AH12" s="45"/>
      <c r="AI12" s="45"/>
      <c r="AJ12" s="44"/>
      <c r="AK12" s="44"/>
      <c r="AL12" s="46"/>
      <c r="AM12" s="46"/>
    </row>
    <row r="13" spans="1:39" ht="15.75" customHeight="1" thickTop="1" thickBot="1" x14ac:dyDescent="0.25">
      <c r="A13" s="210" t="s">
        <v>41</v>
      </c>
      <c r="B13" s="210">
        <f>[13]Mode_PA_l_f0_b0!B8</f>
        <v>84.706999999999994</v>
      </c>
      <c r="C13" s="210">
        <f>[13]Mode_PA_l_f0_b0!C8</f>
        <v>81.133638575482294</v>
      </c>
      <c r="D13" s="210">
        <f>[13]Mode_PA_l_f0_b0!D8</f>
        <v>88.279591427499099</v>
      </c>
      <c r="E13" s="211">
        <f>[13]Mode_PA_l_f0_b0!E8</f>
        <v>1.6519999999999999</v>
      </c>
      <c r="F13" s="211">
        <f>[13]Mode_PA_l_f0_b0!F8</f>
        <v>51.277000000000001</v>
      </c>
      <c r="G13" s="211">
        <f>[13]Mode_PA_l_f0_b0!G8</f>
        <v>12.85</v>
      </c>
      <c r="H13" s="222">
        <f>[13]Mode_PA_l_f0_b0!H8</f>
        <v>2.9999999999999999E-16</v>
      </c>
      <c r="I13" s="222">
        <f>[13]Mode_PA_l_f0_b0!I8</f>
        <v>6.3999999999999999E-15</v>
      </c>
      <c r="J13" s="97" t="str">
        <f>[13]Mode_PA_l_f0_b0!J8</f>
        <v>p&lt;0.0001</v>
      </c>
      <c r="K13" s="44"/>
      <c r="L13" s="44"/>
      <c r="P13" s="45"/>
      <c r="Q13" s="45"/>
      <c r="R13" s="44"/>
      <c r="S13" s="44"/>
      <c r="Y13" s="45"/>
      <c r="Z13" s="45"/>
      <c r="AA13" s="44"/>
      <c r="AB13" s="44"/>
      <c r="AH13" s="45"/>
      <c r="AI13" s="45"/>
      <c r="AJ13" s="44"/>
      <c r="AK13" s="44"/>
      <c r="AL13" s="46"/>
      <c r="AM13" s="46"/>
    </row>
    <row r="14" spans="1:39" ht="15.75" customHeight="1" thickBot="1" x14ac:dyDescent="0.25">
      <c r="A14" s="213" t="s">
        <v>42</v>
      </c>
      <c r="B14" s="213">
        <f>[15]Mode_PA_h_f0_b0!B8</f>
        <v>93.736999999999995</v>
      </c>
      <c r="C14" s="213">
        <f>[15]Mode_PA_h_f0_b0!C8</f>
        <v>89.644799114240996</v>
      </c>
      <c r="D14" s="213">
        <f>[15]Mode_PA_h_f0_b0!D8</f>
        <v>97.829742285346597</v>
      </c>
      <c r="E14" s="214">
        <f>[15]Mode_PA_h_f0_b0!E8</f>
        <v>1.8560000000000001</v>
      </c>
      <c r="F14" s="214">
        <f>[15]Mode_PA_h_f0_b0!F8</f>
        <v>50.515000000000001</v>
      </c>
      <c r="G14" s="214">
        <f>[15]Mode_PA_h_f0_b0!G8</f>
        <v>10.82</v>
      </c>
      <c r="H14" s="223">
        <f>[15]Mode_PA_h_f0_b0!H8</f>
        <v>3.4E-14</v>
      </c>
      <c r="I14" s="223">
        <f>[15]Mode_PA_h_f0_b0!I8</f>
        <v>1.1E-13</v>
      </c>
      <c r="J14" s="225" t="str">
        <f>[15]Mode_PA_h_f0_b0!J8</f>
        <v>p&lt;0.0001</v>
      </c>
      <c r="K14" s="44"/>
      <c r="L14" s="44"/>
      <c r="P14" s="45"/>
      <c r="Q14" s="45"/>
      <c r="R14" s="44"/>
      <c r="S14" s="44"/>
      <c r="Y14" s="45"/>
      <c r="Z14" s="45"/>
      <c r="AA14" s="44"/>
      <c r="AB14" s="44"/>
      <c r="AH14" s="45"/>
      <c r="AI14" s="45"/>
      <c r="AJ14" s="44"/>
      <c r="AK14" s="44"/>
      <c r="AL14" s="46"/>
      <c r="AM14" s="46"/>
    </row>
    <row r="15" spans="1:39" ht="15.75" customHeight="1" thickBot="1" x14ac:dyDescent="0.25">
      <c r="A15" s="216" t="s">
        <v>4</v>
      </c>
      <c r="B15" s="216">
        <f>[17]Mode_PA_l_t_b0!B8</f>
        <v>63.344000000000001</v>
      </c>
      <c r="C15" s="216">
        <f>[17]Mode_PA_l_t_b0!C8</f>
        <v>40.548764552006098</v>
      </c>
      <c r="D15" s="216">
        <f>[17]Mode_PA_l_t_b0!D8</f>
        <v>86.140197086469001</v>
      </c>
      <c r="E15" s="211">
        <f>[17]Mode_PA_l_t_b0!E8</f>
        <v>10.831</v>
      </c>
      <c r="F15" s="211">
        <f>[17]Mode_PA_l_t_b0!F8</f>
        <v>5.8490000000000002</v>
      </c>
      <c r="G15" s="211">
        <f>[17]Mode_PA_l_t_b0!G8</f>
        <v>17.55</v>
      </c>
      <c r="H15" s="222">
        <f>[17]Mode_PA_l_t_b0!H8</f>
        <v>1.7E-5</v>
      </c>
      <c r="I15" s="222">
        <f>[17]Mode_PA_l_t_b0!I8</f>
        <v>2.8E-5</v>
      </c>
      <c r="J15" s="226" t="str">
        <f>[17]Mode_PA_l_t_b0!J8</f>
        <v>p&lt;0.0001</v>
      </c>
      <c r="K15" s="44"/>
      <c r="L15" s="44"/>
      <c r="P15" s="45"/>
      <c r="Q15" s="45"/>
      <c r="R15" s="44"/>
      <c r="S15" s="44"/>
      <c r="Y15" s="45"/>
      <c r="Z15" s="45"/>
      <c r="AA15" s="44"/>
      <c r="AB15" s="44"/>
      <c r="AH15" s="45"/>
      <c r="AI15" s="45"/>
      <c r="AJ15" s="44"/>
      <c r="AK15" s="44"/>
      <c r="AL15" s="46"/>
      <c r="AM15" s="46"/>
    </row>
    <row r="16" spans="1:39" ht="15.75" customHeight="1" thickBot="1" x14ac:dyDescent="0.25">
      <c r="A16" s="217" t="s">
        <v>3</v>
      </c>
      <c r="B16" s="217">
        <f>[19]Mode_PA_h_t_b0!B8</f>
        <v>267.35399999999998</v>
      </c>
      <c r="C16" s="217">
        <f>[19]Mode_PA_h_t_b0!C8</f>
        <v>187.31944529171901</v>
      </c>
      <c r="D16" s="217">
        <f>[19]Mode_PA_h_t_b0!D8</f>
        <v>347.38760276514603</v>
      </c>
      <c r="E16" s="219">
        <f>[19]Mode_PA_h_t_b0!E8</f>
        <v>31.405000000000001</v>
      </c>
      <c r="F16" s="219">
        <f>[19]Mode_PA_h_t_b0!F8</f>
        <v>8.5129999999999999</v>
      </c>
      <c r="G16" s="219">
        <f>[19]Mode_PA_h_t_b0!G8</f>
        <v>5.15</v>
      </c>
      <c r="H16" s="224">
        <f>[19]Mode_PA_h_t_b0!H8</f>
        <v>3.2000000000000003E-4</v>
      </c>
      <c r="I16" s="224">
        <f>[19]Mode_PA_h_t_b0!I8</f>
        <v>4.6999999999999999E-4</v>
      </c>
      <c r="J16" s="227" t="str">
        <f>[19]Mode_PA_h_t_b0!J8</f>
        <v>p&lt;0.001</v>
      </c>
      <c r="K16" s="46">
        <f>D16-C16</f>
        <v>160.06815747342702</v>
      </c>
      <c r="L16" s="44"/>
      <c r="P16" s="45"/>
      <c r="Q16" s="45"/>
      <c r="R16" s="44"/>
      <c r="S16" s="44"/>
      <c r="Y16" s="45"/>
      <c r="Z16" s="45"/>
      <c r="AA16" s="44"/>
      <c r="AB16" s="44"/>
      <c r="AH16" s="45"/>
      <c r="AI16" s="45"/>
      <c r="AJ16" s="44"/>
      <c r="AK16" s="44"/>
      <c r="AL16" s="46"/>
      <c r="AM16" s="46"/>
    </row>
    <row r="17" spans="1:39" ht="15.75" customHeight="1" thickTop="1" thickBot="1" x14ac:dyDescent="0.25">
      <c r="A17" s="47" t="s">
        <v>26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07.5%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8" t="str">
        <f t="shared" si="2"/>
        <v>p. val.</v>
      </c>
      <c r="I17" s="48" t="str">
        <f t="shared" si="2"/>
        <v>p.adj.</v>
      </c>
      <c r="J17" s="48" t="str">
        <f t="shared" si="2"/>
        <v>sig.</v>
      </c>
      <c r="K17" s="44"/>
      <c r="L17" s="44"/>
      <c r="P17" s="45"/>
      <c r="Q17" s="45"/>
      <c r="R17" s="44"/>
      <c r="S17" s="44"/>
      <c r="Y17" s="45"/>
      <c r="Z17" s="45"/>
      <c r="AA17" s="44"/>
      <c r="AB17" s="44"/>
      <c r="AH17" s="45"/>
      <c r="AI17" s="45"/>
      <c r="AJ17" s="44"/>
      <c r="AK17" s="44"/>
      <c r="AL17" s="46"/>
      <c r="AM17" s="46"/>
    </row>
    <row r="18" spans="1:39" ht="15.75" customHeight="1" thickTop="1" thickBot="1" x14ac:dyDescent="0.25">
      <c r="A18" s="210" t="s">
        <v>41</v>
      </c>
      <c r="B18" s="210">
        <f>[13]Mode_PA_l_f0_b0!B9</f>
        <v>86.724000000000004</v>
      </c>
      <c r="C18" s="210">
        <f>[13]Mode_PA_l_f0_b0!C9</f>
        <v>83.164863235291506</v>
      </c>
      <c r="D18" s="210">
        <f>[13]Mode_PA_l_f0_b0!D9</f>
        <v>90.282187472808502</v>
      </c>
      <c r="E18" s="211">
        <f>[13]Mode_PA_l_f0_b0!E9</f>
        <v>1.641</v>
      </c>
      <c r="F18" s="211">
        <f>[13]Mode_PA_l_f0_b0!F9</f>
        <v>52.862000000000002</v>
      </c>
      <c r="G18" s="211">
        <f>[13]Mode_PA_l_f0_b0!G9</f>
        <v>12.5</v>
      </c>
      <c r="H18" s="222">
        <f>[13]Mode_PA_l_f0_b0!H9</f>
        <v>4.5000000000000002E-16</v>
      </c>
      <c r="I18" s="222">
        <f>[13]Mode_PA_l_f0_b0!I9</f>
        <v>7.2000000000000002E-15</v>
      </c>
      <c r="J18" s="97" t="str">
        <f>[13]Mode_PA_l_f0_b0!J9</f>
        <v>p&lt;0.0001</v>
      </c>
      <c r="K18" s="44"/>
      <c r="L18" s="44"/>
      <c r="P18" s="45"/>
      <c r="Q18" s="45"/>
      <c r="R18" s="44"/>
      <c r="S18" s="44"/>
      <c r="Y18" s="45"/>
      <c r="Z18" s="45"/>
      <c r="AA18" s="44"/>
      <c r="AB18" s="44"/>
      <c r="AH18" s="45"/>
      <c r="AI18" s="45"/>
      <c r="AJ18" s="44"/>
      <c r="AK18" s="44"/>
      <c r="AL18" s="46"/>
      <c r="AM18" s="46"/>
    </row>
    <row r="19" spans="1:39" ht="15.75" customHeight="1" thickBot="1" x14ac:dyDescent="0.25">
      <c r="A19" s="213" t="s">
        <v>42</v>
      </c>
      <c r="B19" s="213">
        <f>[15]Mode_PA_h_f0_b0!B9</f>
        <v>93.728999999999999</v>
      </c>
      <c r="C19" s="213">
        <f>[15]Mode_PA_h_f0_b0!C9</f>
        <v>89.656987791724603</v>
      </c>
      <c r="D19" s="213">
        <f>[15]Mode_PA_h_f0_b0!D9</f>
        <v>97.800438498133602</v>
      </c>
      <c r="E19" s="214">
        <f>[15]Mode_PA_h_f0_b0!E9</f>
        <v>1.8360000000000001</v>
      </c>
      <c r="F19" s="214">
        <f>[15]Mode_PA_h_f0_b0!F9</f>
        <v>51.037999999999997</v>
      </c>
      <c r="G19" s="214">
        <f>[15]Mode_PA_h_f0_b0!G9</f>
        <v>10.38</v>
      </c>
      <c r="H19" s="223">
        <f>[15]Mode_PA_h_f0_b0!H9</f>
        <v>8.3999999999999995E-14</v>
      </c>
      <c r="I19" s="223">
        <f>[15]Mode_PA_h_f0_b0!I9</f>
        <v>2.2999999999999998E-13</v>
      </c>
      <c r="J19" s="225" t="str">
        <f>[15]Mode_PA_h_f0_b0!J9</f>
        <v>p&lt;0.0001</v>
      </c>
      <c r="K19" s="44"/>
      <c r="L19" s="44"/>
      <c r="P19" s="45"/>
      <c r="Q19" s="45"/>
      <c r="R19" s="44"/>
      <c r="S19" s="44"/>
      <c r="Y19" s="45"/>
      <c r="Z19" s="45"/>
      <c r="AA19" s="44"/>
      <c r="AB19" s="44"/>
      <c r="AH19" s="45"/>
      <c r="AI19" s="45"/>
      <c r="AJ19" s="44"/>
      <c r="AK19" s="44"/>
      <c r="AL19" s="46"/>
      <c r="AM19" s="46"/>
    </row>
    <row r="20" spans="1:39" ht="15.75" customHeight="1" thickBot="1" x14ac:dyDescent="0.25">
      <c r="A20" s="216" t="s">
        <v>4</v>
      </c>
      <c r="B20" s="216">
        <f>[17]Mode_PA_l_t_b0!B9</f>
        <v>65.388999999999996</v>
      </c>
      <c r="C20" s="216">
        <f>[17]Mode_PA_l_t_b0!C9</f>
        <v>43.096406186970398</v>
      </c>
      <c r="D20" s="216">
        <f>[17]Mode_PA_l_t_b0!D9</f>
        <v>87.6806831178435</v>
      </c>
      <c r="E20" s="211">
        <f>[17]Mode_PA_l_t_b0!E9</f>
        <v>10.481</v>
      </c>
      <c r="F20" s="211">
        <f>[17]Mode_PA_l_t_b0!F9</f>
        <v>6.2389999999999999</v>
      </c>
      <c r="G20" s="211">
        <f>[17]Mode_PA_l_t_b0!G9</f>
        <v>15.37</v>
      </c>
      <c r="H20" s="222">
        <f>[17]Mode_PA_l_t_b0!H9</f>
        <v>1.4E-5</v>
      </c>
      <c r="I20" s="222">
        <f>[17]Mode_PA_l_t_b0!I9</f>
        <v>2.5999999999999998E-5</v>
      </c>
      <c r="J20" s="226" t="str">
        <f>[17]Mode_PA_l_t_b0!J9</f>
        <v>p&lt;0.0001</v>
      </c>
      <c r="K20" s="44"/>
      <c r="L20" s="44"/>
      <c r="P20" s="45"/>
      <c r="Q20" s="45"/>
      <c r="R20" s="44"/>
      <c r="S20" s="44"/>
      <c r="Y20" s="45"/>
      <c r="Z20" s="45"/>
      <c r="AA20" s="44"/>
      <c r="AB20" s="44"/>
      <c r="AH20" s="45"/>
      <c r="AI20" s="45"/>
      <c r="AJ20" s="44"/>
      <c r="AK20" s="44"/>
      <c r="AL20" s="46"/>
      <c r="AM20" s="46"/>
    </row>
    <row r="21" spans="1:39" ht="15.75" customHeight="1" x14ac:dyDescent="0.2">
      <c r="A21" s="217" t="s">
        <v>3</v>
      </c>
      <c r="B21" s="217">
        <f>[19]Mode_PA_h_t_b0!B9</f>
        <v>267.60899999999998</v>
      </c>
      <c r="C21" s="217">
        <f>[19]Mode_PA_h_t_b0!C9</f>
        <v>187.45073539710501</v>
      </c>
      <c r="D21" s="217">
        <f>[19]Mode_PA_h_t_b0!D9</f>
        <v>347.76631975450999</v>
      </c>
      <c r="E21" s="219">
        <f>[19]Mode_PA_h_t_b0!E9</f>
        <v>31.145</v>
      </c>
      <c r="F21" s="219">
        <f>[19]Mode_PA_h_t_b0!F9</f>
        <v>8.5920000000000005</v>
      </c>
      <c r="G21" s="219">
        <f>[19]Mode_PA_h_t_b0!G9</f>
        <v>4.9800000000000004</v>
      </c>
      <c r="H21" s="224">
        <f>[19]Mode_PA_h_t_b0!H9</f>
        <v>3.6000000000000002E-4</v>
      </c>
      <c r="I21" s="224">
        <f>[19]Mode_PA_h_t_b0!I9</f>
        <v>5.1000000000000004E-4</v>
      </c>
      <c r="J21" s="227" t="str">
        <f>[19]Mode_PA_h_t_b0!J9</f>
        <v>p&lt;0.001</v>
      </c>
      <c r="K21" s="46">
        <f>D21-C21</f>
        <v>160.31558435740499</v>
      </c>
      <c r="L21" s="44"/>
      <c r="P21" s="45"/>
      <c r="Q21" s="45"/>
      <c r="R21" s="44"/>
      <c r="S21" s="44"/>
      <c r="Y21" s="45"/>
      <c r="Z21" s="45"/>
      <c r="AA21" s="44"/>
      <c r="AB21" s="44"/>
      <c r="AH21" s="45"/>
      <c r="AI21" s="45"/>
      <c r="AJ21" s="44"/>
      <c r="AK21" s="44"/>
      <c r="AL21" s="46"/>
      <c r="AM21" s="46"/>
    </row>
  </sheetData>
  <mergeCells count="2">
    <mergeCell ref="A1:J1"/>
    <mergeCell ref="L1:N1"/>
  </mergeCells>
  <conditionalFormatting sqref="H18:I21 H3:I6 H8:I10 H13:I16">
    <cfRule type="cellIs" dxfId="117" priority="19" stopIfTrue="1" operator="lessThan">
      <formula>0.0001</formula>
    </cfRule>
    <cfRule type="cellIs" dxfId="116" priority="20" stopIfTrue="1" operator="lessThan">
      <formula>0.001</formula>
    </cfRule>
    <cfRule type="cellIs" dxfId="115" priority="21" stopIfTrue="1" operator="lessThan">
      <formula>0.05</formula>
    </cfRule>
    <cfRule type="cellIs" dxfId="114" priority="22" stopIfTrue="1" operator="lessThan">
      <formula>0.1</formula>
    </cfRule>
  </conditionalFormatting>
  <conditionalFormatting sqref="J18:J21 J3:J6 J8:J11 J13:J16">
    <cfRule type="containsText" dxfId="113" priority="14" stopIfTrue="1" operator="containsText" text="p&lt;0.0001">
      <formula>NOT(ISERROR(SEARCH("p&lt;0.0001",J3)))</formula>
    </cfRule>
    <cfRule type="containsText" dxfId="112" priority="15" stopIfTrue="1" operator="containsText" text="p&lt;0.001">
      <formula>NOT(ISERROR(SEARCH("p&lt;0.001",J3)))</formula>
    </cfRule>
    <cfRule type="containsText" dxfId="111" priority="16" stopIfTrue="1" operator="containsText" text="p&lt;0.01">
      <formula>NOT(ISERROR(SEARCH("p&lt;0.01",J3)))</formula>
    </cfRule>
    <cfRule type="containsText" dxfId="110" priority="17" stopIfTrue="1" operator="containsText" text="p&lt;0.05">
      <formula>NOT(ISERROR(SEARCH("p&lt;0.05",J3)))</formula>
    </cfRule>
    <cfRule type="containsText" dxfId="109" priority="18" stopIfTrue="1" operator="containsText" text="p&lt;0.1">
      <formula>NOT(ISERROR(SEARCH("p&lt;0.1",J3)))</formula>
    </cfRule>
  </conditionalFormatting>
  <conditionalFormatting sqref="H11:I11">
    <cfRule type="cellIs" dxfId="108" priority="1" stopIfTrue="1" operator="lessThan">
      <formula>0.0001</formula>
    </cfRule>
    <cfRule type="cellIs" dxfId="107" priority="2" stopIfTrue="1" operator="lessThan">
      <formula>0.001</formula>
    </cfRule>
    <cfRule type="cellIs" dxfId="106" priority="3" stopIfTrue="1" operator="lessThan">
      <formula>0.05</formula>
    </cfRule>
    <cfRule type="cellIs" dxfId="105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31"/>
  <sheetViews>
    <sheetView showGridLines="0" topLeftCell="A3" zoomScale="111" zoomScaleNormal="111" zoomScaleSheetLayoutView="40" workbookViewId="0">
      <selection activeCell="C5" sqref="C5"/>
    </sheetView>
  </sheetViews>
  <sheetFormatPr defaultColWidth="13.85546875" defaultRowHeight="12.75" x14ac:dyDescent="0.2"/>
  <cols>
    <col min="1" max="1" width="17.140625" style="82" customWidth="1"/>
    <col min="2" max="3" width="11.85546875" style="82" customWidth="1"/>
    <col min="4" max="10" width="11.85546875" style="83" customWidth="1"/>
    <col min="11" max="11" width="9.7109375" style="208" customWidth="1"/>
    <col min="12" max="12" width="11.42578125" style="208" customWidth="1"/>
    <col min="13" max="14" width="7.7109375" style="79" customWidth="1"/>
    <col min="15" max="16" width="11.42578125" style="79" customWidth="1"/>
    <col min="17" max="18" width="8.7109375" style="79" customWidth="1"/>
    <col min="19" max="19" width="11.42578125" style="80" customWidth="1"/>
    <col min="20" max="20" width="9.7109375" style="80" customWidth="1"/>
    <col min="21" max="21" width="11.42578125" style="80" customWidth="1"/>
    <col min="22" max="23" width="7.7109375" style="79" customWidth="1"/>
    <col min="24" max="25" width="11.42578125" style="79" customWidth="1"/>
    <col min="26" max="27" width="8.7109375" style="79" customWidth="1"/>
    <col min="28" max="28" width="11.42578125" style="80" customWidth="1"/>
    <col min="29" max="29" width="9.7109375" style="80" customWidth="1"/>
    <col min="30" max="30" width="11.42578125" style="80" customWidth="1"/>
    <col min="31" max="32" width="7.7109375" style="79" customWidth="1"/>
    <col min="33" max="34" width="11.42578125" style="79" customWidth="1"/>
    <col min="35" max="36" width="8.7109375" style="79" customWidth="1"/>
    <col min="37" max="37" width="11.42578125" style="80" customWidth="1"/>
    <col min="38" max="38" width="9.7109375" style="80" customWidth="1"/>
    <col min="39" max="39" width="11.42578125" style="80" customWidth="1"/>
    <col min="40" max="41" width="7.7109375" style="79" customWidth="1"/>
    <col min="42" max="43" width="11.42578125" style="79" customWidth="1"/>
    <col min="44" max="45" width="8.7109375" style="79" customWidth="1"/>
    <col min="46" max="46" width="11.42578125" style="80" customWidth="1"/>
    <col min="47" max="47" width="9.7109375" style="80" customWidth="1"/>
    <col min="48" max="48" width="11.42578125" style="80" customWidth="1"/>
    <col min="49" max="50" width="7.7109375" style="79" customWidth="1"/>
    <col min="51" max="52" width="11.42578125" style="79" customWidth="1"/>
    <col min="53" max="54" width="8.7109375" style="79" customWidth="1"/>
    <col min="55" max="55" width="11.42578125" style="80" customWidth="1"/>
    <col min="56" max="56" width="9.7109375" style="80" customWidth="1"/>
    <col min="57" max="57" width="11.42578125" style="80" customWidth="1"/>
    <col min="58" max="59" width="11.42578125" style="79" customWidth="1"/>
    <col min="60" max="16384" width="13.85546875" style="79"/>
  </cols>
  <sheetData>
    <row r="1" spans="1:57" s="261" customFormat="1" ht="24" customHeight="1" thickBot="1" x14ac:dyDescent="0.35">
      <c r="A1" s="277" t="s">
        <v>76</v>
      </c>
      <c r="B1" s="277"/>
      <c r="C1" s="277"/>
      <c r="D1" s="277"/>
      <c r="E1" s="277"/>
      <c r="F1" s="277"/>
      <c r="G1" s="277"/>
      <c r="H1" s="277"/>
      <c r="I1" s="277"/>
      <c r="J1" s="277"/>
      <c r="K1" s="260"/>
      <c r="L1" s="260"/>
      <c r="S1" s="262"/>
      <c r="T1" s="262"/>
      <c r="U1" s="262"/>
      <c r="AB1" s="262"/>
      <c r="AC1" s="262"/>
      <c r="AD1" s="262"/>
      <c r="AK1" s="262"/>
      <c r="AL1" s="262"/>
      <c r="AM1" s="262"/>
      <c r="AT1" s="262"/>
      <c r="AU1" s="262"/>
      <c r="AV1" s="262"/>
      <c r="BC1" s="262"/>
      <c r="BD1" s="262"/>
      <c r="BE1" s="262"/>
    </row>
    <row r="2" spans="1:57" s="207" customFormat="1" ht="15.75" customHeight="1" thickTop="1" thickBot="1" x14ac:dyDescent="0.25">
      <c r="A2" s="65" t="s">
        <v>83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80" t="s">
        <v>64</v>
      </c>
    </row>
    <row r="3" spans="1:57" s="207" customFormat="1" ht="15.75" customHeight="1" thickTop="1" thickBot="1" x14ac:dyDescent="0.25">
      <c r="A3" s="229" t="s">
        <v>41</v>
      </c>
      <c r="B3" s="229">
        <f>[21]Mode_PA_l_f0_b1!C8</f>
        <v>2.88</v>
      </c>
      <c r="C3" s="229">
        <f>[21]Mode_PA_l_f0_b1!D8</f>
        <v>1.4143519263022799</v>
      </c>
      <c r="D3" s="229">
        <f>[21]Mode_PA_l_f0_b1!E8</f>
        <v>4.3456949573352404</v>
      </c>
      <c r="E3" s="230">
        <f>[21]Mode_PA_l_f0_b1!F8</f>
        <v>0.746</v>
      </c>
      <c r="F3" s="230">
        <f>[21]Mode_PA_l_f0_b1!G8</f>
        <v>3.859</v>
      </c>
      <c r="G3" s="230">
        <f>[21]Mode_PA_l_f0_b1!H8</f>
        <v>600</v>
      </c>
      <c r="H3" s="231">
        <f>[21]Mode_PA_l_f0_b1!I8</f>
        <v>1.2999999999999999E-4</v>
      </c>
      <c r="I3" s="231">
        <f>[21]Mode_PA_l_f0_b1!J8</f>
        <v>3.8999999999999999E-4</v>
      </c>
      <c r="J3" s="232" t="str">
        <f>[21]Mode_PA_l_f0_b1!K8</f>
        <v>p&lt;0.001</v>
      </c>
      <c r="K3" s="181">
        <f>B3-C3</f>
        <v>1.46564807369772</v>
      </c>
    </row>
    <row r="4" spans="1:57" s="86" customFormat="1" ht="15.75" customHeight="1" thickBot="1" x14ac:dyDescent="0.25">
      <c r="A4" s="233" t="s">
        <v>42</v>
      </c>
      <c r="B4" s="233">
        <f>[22]Mode_PA_h_f0_b1!C8</f>
        <v>-0.27300000000000002</v>
      </c>
      <c r="C4" s="233">
        <f>[22]Mode_PA_h_f0_b1!D8</f>
        <v>-2.4228532078011602</v>
      </c>
      <c r="D4" s="233">
        <f>[22]Mode_PA_h_f0_b1!E8</f>
        <v>1.87670209698594</v>
      </c>
      <c r="E4" s="234">
        <f>[22]Mode_PA_h_f0_b1!F8</f>
        <v>1.095</v>
      </c>
      <c r="F4" s="234">
        <f>[22]Mode_PA_h_f0_b1!G8</f>
        <v>-0.249</v>
      </c>
      <c r="G4" s="234">
        <f>[22]Mode_PA_h_f0_b1!H8</f>
        <v>610.98</v>
      </c>
      <c r="H4" s="235">
        <f>[22]Mode_PA_h_f0_b1!I8</f>
        <v>0.80300000000000005</v>
      </c>
      <c r="I4" s="235">
        <f>[22]Mode_PA_h_f0_b1!J8</f>
        <v>0.90600000000000003</v>
      </c>
      <c r="J4" s="232">
        <f>[22]Mode_PA_h_f0_b1!K8</f>
        <v>0</v>
      </c>
      <c r="K4" s="181">
        <f t="shared" ref="K4:K6" si="0">B4-C4</f>
        <v>2.1498532078011601</v>
      </c>
    </row>
    <row r="5" spans="1:57" ht="15.75" customHeight="1" thickBot="1" x14ac:dyDescent="0.25">
      <c r="A5" s="236" t="s">
        <v>4</v>
      </c>
      <c r="B5" s="236">
        <f>[23]Mode_PA_l_t_b1!C8</f>
        <v>13.842000000000001</v>
      </c>
      <c r="C5" s="236">
        <f>[23]Mode_PA_l_t_b1!D8</f>
        <v>-7.7286761016436296</v>
      </c>
      <c r="D5" s="236">
        <f>[23]Mode_PA_l_t_b1!E8</f>
        <v>35.411761488235797</v>
      </c>
      <c r="E5" s="229">
        <f>[23]Mode_PA_l_t_b1!F8</f>
        <v>10.983000000000001</v>
      </c>
      <c r="F5" s="230">
        <f>[23]Mode_PA_l_t_b1!G8</f>
        <v>1.26</v>
      </c>
      <c r="G5" s="230">
        <f>[23]Mode_PA_l_t_b1!H8</f>
        <v>606.73</v>
      </c>
      <c r="H5" s="235">
        <f>[23]Mode_PA_l_t_b1!I8</f>
        <v>0.20799999999999999</v>
      </c>
      <c r="I5" s="235">
        <f>[23]Mode_PA_l_t_b1!J8</f>
        <v>0.28000000000000003</v>
      </c>
      <c r="J5" s="232">
        <f>[23]Mode_PA_l_t_b1!K8</f>
        <v>0</v>
      </c>
      <c r="K5" s="181">
        <f t="shared" si="0"/>
        <v>21.570676101643631</v>
      </c>
      <c r="L5" s="79"/>
      <c r="Q5" s="80"/>
      <c r="R5" s="80"/>
      <c r="T5" s="79"/>
      <c r="U5" s="79"/>
      <c r="Z5" s="80"/>
      <c r="AA5" s="80"/>
      <c r="AC5" s="79"/>
      <c r="AD5" s="79"/>
      <c r="AI5" s="80"/>
      <c r="AJ5" s="80"/>
      <c r="AL5" s="79"/>
      <c r="AM5" s="79"/>
      <c r="AR5" s="80"/>
      <c r="AS5" s="80"/>
      <c r="AU5" s="79"/>
      <c r="AV5" s="79"/>
      <c r="BA5" s="80"/>
      <c r="BB5" s="80"/>
      <c r="BD5" s="79"/>
      <c r="BE5" s="79"/>
    </row>
    <row r="6" spans="1:57" s="83" customFormat="1" ht="15.75" customHeight="1" thickBot="1" x14ac:dyDescent="0.25">
      <c r="A6" s="237" t="s">
        <v>3</v>
      </c>
      <c r="B6" s="237">
        <f>[24]Mode_PA_h_t_b1!C8</f>
        <v>-49.881999999999998</v>
      </c>
      <c r="C6" s="237">
        <f>[24]Mode_PA_h_t_b1!D8</f>
        <v>-82.044816438502707</v>
      </c>
      <c r="D6" s="237">
        <f>[24]Mode_PA_h_t_b1!E8</f>
        <v>-17.7191099339265</v>
      </c>
      <c r="E6" s="238">
        <f>[24]Mode_PA_h_t_b1!F8</f>
        <v>16.376999999999999</v>
      </c>
      <c r="F6" s="239">
        <f>[24]Mode_PA_h_t_b1!G8</f>
        <v>-3.0459999999999998</v>
      </c>
      <c r="G6" s="239">
        <f>[24]Mode_PA_h_t_b1!H8</f>
        <v>609.57000000000005</v>
      </c>
      <c r="H6" s="240">
        <f>[24]Mode_PA_h_t_b1!I8</f>
        <v>2E-3</v>
      </c>
      <c r="I6" s="240">
        <f>[24]Mode_PA_h_t_b1!J8</f>
        <v>4.0000000000000001E-3</v>
      </c>
      <c r="J6" s="241" t="str">
        <f>[24]Mode_PA_h_t_b1!K8</f>
        <v>p&lt;0.01</v>
      </c>
      <c r="K6" s="181">
        <f t="shared" si="0"/>
        <v>32.162816438502709</v>
      </c>
    </row>
    <row r="7" spans="1:57" ht="15.75" customHeight="1" thickTop="1" thickBot="1" x14ac:dyDescent="0.25">
      <c r="A7" s="65" t="s">
        <v>84</v>
      </c>
      <c r="B7" s="65" t="str">
        <f>B2</f>
        <v>est.</v>
      </c>
      <c r="C7" s="65" t="str">
        <f t="shared" ref="C7:J7" si="1">C2</f>
        <v>2.5% CI</v>
      </c>
      <c r="D7" s="65" t="str">
        <f t="shared" si="1"/>
        <v>97.5% CI</v>
      </c>
      <c r="E7" s="65" t="str">
        <f t="shared" si="1"/>
        <v>std.error</v>
      </c>
      <c r="F7" s="65" t="str">
        <f t="shared" si="1"/>
        <v>t</v>
      </c>
      <c r="G7" s="65" t="str">
        <f t="shared" si="1"/>
        <v>df</v>
      </c>
      <c r="H7" s="81" t="str">
        <f t="shared" si="1"/>
        <v>p. val.</v>
      </c>
      <c r="I7" s="81" t="str">
        <f t="shared" si="1"/>
        <v>p.adj.</v>
      </c>
      <c r="J7" s="66" t="str">
        <f t="shared" si="1"/>
        <v>sig.</v>
      </c>
      <c r="K7" s="180" t="s">
        <v>64</v>
      </c>
      <c r="L7" s="79"/>
      <c r="O7" s="80"/>
      <c r="P7" s="80"/>
      <c r="Q7" s="80"/>
      <c r="S7" s="79"/>
      <c r="T7" s="79"/>
      <c r="U7" s="79"/>
      <c r="X7" s="80"/>
      <c r="Y7" s="80"/>
      <c r="Z7" s="80"/>
      <c r="AB7" s="79"/>
      <c r="AC7" s="79"/>
      <c r="AD7" s="79"/>
      <c r="AG7" s="80"/>
      <c r="AH7" s="80"/>
      <c r="AI7" s="80"/>
      <c r="AK7" s="79"/>
      <c r="AL7" s="79"/>
      <c r="AM7" s="79"/>
      <c r="AP7" s="80"/>
      <c r="AQ7" s="80"/>
      <c r="AR7" s="80"/>
      <c r="AT7" s="79"/>
      <c r="AU7" s="79"/>
      <c r="AV7" s="79"/>
      <c r="AY7" s="80"/>
      <c r="AZ7" s="80"/>
      <c r="BA7" s="80"/>
      <c r="BC7" s="79"/>
      <c r="BD7" s="79"/>
      <c r="BE7" s="79"/>
    </row>
    <row r="8" spans="1:57" ht="15.75" customHeight="1" thickTop="1" thickBot="1" x14ac:dyDescent="0.25">
      <c r="A8" s="229" t="s">
        <v>41</v>
      </c>
      <c r="B8" s="229">
        <f>[21]Mode_PA_l_f0_b1!C9</f>
        <v>0.71599999999999997</v>
      </c>
      <c r="C8" s="229">
        <f>[21]Mode_PA_l_f0_b1!D9</f>
        <v>0.109810559163631</v>
      </c>
      <c r="D8" s="229">
        <f>[21]Mode_PA_l_f0_b1!E9</f>
        <v>1.3228377311159101</v>
      </c>
      <c r="E8" s="230">
        <f>[21]Mode_PA_l_f0_b1!F9</f>
        <v>0.309</v>
      </c>
      <c r="F8" s="230">
        <f>[21]Mode_PA_l_f0_b1!G9</f>
        <v>2.3199999999999998</v>
      </c>
      <c r="G8" s="230">
        <f>[21]Mode_PA_l_f0_b1!H9</f>
        <v>599.23</v>
      </c>
      <c r="H8" s="231">
        <f>[21]Mode_PA_l_f0_b1!I9</f>
        <v>2.1000000000000001E-2</v>
      </c>
      <c r="I8" s="231">
        <f>[21]Mode_PA_l_f0_b1!J9</f>
        <v>3.5000000000000003E-2</v>
      </c>
      <c r="J8" s="232" t="str">
        <f>[21]Mode_PA_l_f0_b1!K9</f>
        <v>p&lt;0.05</v>
      </c>
      <c r="K8" s="181">
        <f>B8-C8</f>
        <v>0.60618944083636894</v>
      </c>
      <c r="L8" s="79"/>
      <c r="O8" s="80"/>
      <c r="P8" s="80"/>
      <c r="Q8" s="80"/>
      <c r="S8" s="79"/>
      <c r="T8" s="79"/>
      <c r="U8" s="79"/>
      <c r="X8" s="80"/>
      <c r="Y8" s="80"/>
      <c r="Z8" s="80"/>
      <c r="AB8" s="79"/>
      <c r="AC8" s="79"/>
      <c r="AD8" s="79"/>
      <c r="AG8" s="80"/>
      <c r="AH8" s="80"/>
      <c r="AI8" s="80"/>
      <c r="AK8" s="79"/>
      <c r="AL8" s="79"/>
      <c r="AM8" s="79"/>
      <c r="AP8" s="80"/>
      <c r="AQ8" s="80"/>
      <c r="AR8" s="80"/>
      <c r="AT8" s="79"/>
      <c r="AU8" s="79"/>
      <c r="AV8" s="79"/>
      <c r="AY8" s="80"/>
      <c r="AZ8" s="80"/>
      <c r="BA8" s="80"/>
      <c r="BC8" s="79"/>
      <c r="BD8" s="79"/>
      <c r="BE8" s="79"/>
    </row>
    <row r="9" spans="1:57" ht="15.75" customHeight="1" thickBot="1" x14ac:dyDescent="0.25">
      <c r="A9" s="233" t="s">
        <v>42</v>
      </c>
      <c r="B9" s="233">
        <f>[22]Mode_PA_h_f0_b1!C9</f>
        <v>3.577</v>
      </c>
      <c r="C9" s="233">
        <f>[22]Mode_PA_h_f0_b1!D9</f>
        <v>2.7248136399718699</v>
      </c>
      <c r="D9" s="233">
        <f>[22]Mode_PA_h_f0_b1!E9</f>
        <v>4.4287303056152298</v>
      </c>
      <c r="E9" s="234">
        <f>[22]Mode_PA_h_f0_b1!F9</f>
        <v>0.434</v>
      </c>
      <c r="F9" s="234">
        <f>[22]Mode_PA_h_f0_b1!G9</f>
        <v>8.2449999999999992</v>
      </c>
      <c r="G9" s="234">
        <f>[22]Mode_PA_h_f0_b1!H9</f>
        <v>610.16999999999996</v>
      </c>
      <c r="H9" s="242">
        <f>[22]Mode_PA_h_f0_b1!I9</f>
        <v>1.0000000000000001E-15</v>
      </c>
      <c r="I9" s="242">
        <f>[22]Mode_PA_h_f0_b1!J9</f>
        <v>7.4999999999999996E-15</v>
      </c>
      <c r="J9" s="232" t="str">
        <f>[22]Mode_PA_h_f0_b1!K9</f>
        <v>p&lt;0.0001</v>
      </c>
      <c r="K9" s="181">
        <f t="shared" ref="K9:K11" si="2">B9-C9</f>
        <v>0.85218636002813009</v>
      </c>
      <c r="L9" s="79"/>
      <c r="O9" s="80"/>
      <c r="P9" s="80"/>
      <c r="Q9" s="80"/>
      <c r="S9" s="79"/>
      <c r="T9" s="79"/>
      <c r="U9" s="79"/>
      <c r="X9" s="80"/>
      <c r="Y9" s="80"/>
      <c r="Z9" s="80"/>
      <c r="AB9" s="79"/>
      <c r="AC9" s="79"/>
      <c r="AD9" s="79"/>
      <c r="AG9" s="80"/>
      <c r="AH9" s="80"/>
      <c r="AI9" s="80"/>
      <c r="AK9" s="79"/>
      <c r="AL9" s="79"/>
      <c r="AM9" s="79"/>
      <c r="AP9" s="80"/>
      <c r="AQ9" s="80"/>
      <c r="AR9" s="80"/>
      <c r="AT9" s="79"/>
      <c r="AU9" s="79"/>
      <c r="AV9" s="79"/>
      <c r="AY9" s="80"/>
      <c r="AZ9" s="80"/>
      <c r="BA9" s="80"/>
      <c r="BC9" s="79"/>
      <c r="BD9" s="79"/>
      <c r="BE9" s="79"/>
    </row>
    <row r="10" spans="1:57" ht="15.75" customHeight="1" thickBot="1" x14ac:dyDescent="0.25">
      <c r="A10" s="236" t="s">
        <v>4</v>
      </c>
      <c r="B10" s="236">
        <f>[23]Mode_PA_l_t_b1!C9</f>
        <v>-4.0629999999999997</v>
      </c>
      <c r="C10" s="236">
        <f>[23]Mode_PA_l_t_b1!D9</f>
        <v>-12.6427494005663</v>
      </c>
      <c r="D10" s="236">
        <f>[23]Mode_PA_l_t_b1!E9</f>
        <v>4.5162345382764499</v>
      </c>
      <c r="E10" s="230">
        <f>[23]Mode_PA_l_t_b1!F9</f>
        <v>4.3689999999999998</v>
      </c>
      <c r="F10" s="230">
        <f>[23]Mode_PA_l_t_b1!G9</f>
        <v>-0.93</v>
      </c>
      <c r="G10" s="230">
        <f>[23]Mode_PA_l_t_b1!H9</f>
        <v>607.47</v>
      </c>
      <c r="H10" s="235">
        <f>[23]Mode_PA_l_t_b1!I9</f>
        <v>0.35299999999999998</v>
      </c>
      <c r="I10" s="235">
        <f>[23]Mode_PA_l_t_b1!J9</f>
        <v>0.45100000000000001</v>
      </c>
      <c r="J10" s="232">
        <f>[23]Mode_PA_l_t_b1!K9</f>
        <v>0</v>
      </c>
      <c r="K10" s="181">
        <f t="shared" si="2"/>
        <v>8.5797494005662998</v>
      </c>
      <c r="L10" s="79"/>
      <c r="Q10" s="80"/>
      <c r="R10" s="80"/>
      <c r="T10" s="79"/>
      <c r="U10" s="79"/>
      <c r="Z10" s="80"/>
      <c r="AA10" s="80"/>
      <c r="AC10" s="79"/>
      <c r="AD10" s="79"/>
      <c r="AI10" s="80"/>
      <c r="AJ10" s="80"/>
      <c r="AL10" s="79"/>
      <c r="AM10" s="79"/>
      <c r="AR10" s="80"/>
      <c r="AS10" s="80"/>
      <c r="AU10" s="79"/>
      <c r="AV10" s="79"/>
      <c r="BA10" s="80"/>
      <c r="BB10" s="80"/>
      <c r="BD10" s="79"/>
      <c r="BE10" s="79"/>
    </row>
    <row r="11" spans="1:57" ht="15.75" customHeight="1" thickBot="1" x14ac:dyDescent="0.25">
      <c r="A11" s="237" t="s">
        <v>3</v>
      </c>
      <c r="B11" s="237">
        <f>[24]Mode_PA_h_t_b1!C9</f>
        <v>-0.86099999999999999</v>
      </c>
      <c r="C11" s="237">
        <f>[24]Mode_PA_h_t_b1!D9</f>
        <v>-13.6202478931702</v>
      </c>
      <c r="D11" s="237">
        <f>[24]Mode_PA_h_t_b1!E9</f>
        <v>11.8983528620118</v>
      </c>
      <c r="E11" s="239">
        <f>[24]Mode_PA_h_t_b1!F9</f>
        <v>6.4969999999999999</v>
      </c>
      <c r="F11" s="239">
        <f>[24]Mode_PA_h_t_b1!G9</f>
        <v>-0.13300000000000001</v>
      </c>
      <c r="G11" s="239">
        <f>[24]Mode_PA_h_t_b1!H9</f>
        <v>608.66999999999996</v>
      </c>
      <c r="H11" s="243">
        <f>[24]Mode_PA_h_t_b1!I9</f>
        <v>0.89500000000000002</v>
      </c>
      <c r="I11" s="243">
        <f>[24]Mode_PA_h_t_b1!J9</f>
        <v>0.93799999999999994</v>
      </c>
      <c r="J11" s="241">
        <f>[24]Mode_PA_h_t_b1!K9</f>
        <v>0</v>
      </c>
      <c r="K11" s="181">
        <f t="shared" si="2"/>
        <v>12.759247893170199</v>
      </c>
      <c r="L11" s="79"/>
      <c r="Q11" s="80"/>
      <c r="R11" s="80"/>
      <c r="T11" s="79"/>
      <c r="U11" s="79"/>
      <c r="Z11" s="80"/>
      <c r="AA11" s="80"/>
      <c r="AC11" s="79"/>
      <c r="AD11" s="79"/>
      <c r="AI11" s="80"/>
      <c r="AJ11" s="80"/>
      <c r="AL11" s="79"/>
      <c r="AM11" s="79"/>
      <c r="AR11" s="80"/>
      <c r="AS11" s="80"/>
      <c r="AU11" s="79"/>
      <c r="AV11" s="79"/>
      <c r="BA11" s="80"/>
      <c r="BB11" s="80"/>
      <c r="BD11" s="79"/>
      <c r="BE11" s="79"/>
    </row>
    <row r="12" spans="1:57" ht="15.75" customHeight="1" thickTop="1" thickBot="1" x14ac:dyDescent="0.25">
      <c r="A12" s="65" t="s">
        <v>85</v>
      </c>
      <c r="B12" s="65" t="str">
        <f t="shared" ref="B12:J12" si="3">B7</f>
        <v>est.</v>
      </c>
      <c r="C12" s="65" t="str">
        <f t="shared" si="3"/>
        <v>2.5% CI</v>
      </c>
      <c r="D12" s="65" t="str">
        <f t="shared" si="3"/>
        <v>97.5% CI</v>
      </c>
      <c r="E12" s="65" t="str">
        <f t="shared" si="3"/>
        <v>std.error</v>
      </c>
      <c r="F12" s="65" t="str">
        <f t="shared" si="3"/>
        <v>t</v>
      </c>
      <c r="G12" s="65" t="str">
        <f t="shared" si="3"/>
        <v>df</v>
      </c>
      <c r="H12" s="81" t="str">
        <f t="shared" si="3"/>
        <v>p. val.</v>
      </c>
      <c r="I12" s="81" t="str">
        <f t="shared" si="3"/>
        <v>p.adj.</v>
      </c>
      <c r="J12" s="66" t="str">
        <f t="shared" si="3"/>
        <v>sig.</v>
      </c>
      <c r="K12" s="180" t="s">
        <v>64</v>
      </c>
      <c r="L12" s="79"/>
      <c r="Q12" s="80"/>
      <c r="R12" s="80"/>
      <c r="T12" s="79"/>
      <c r="U12" s="79"/>
      <c r="Z12" s="80"/>
      <c r="AA12" s="80"/>
      <c r="AC12" s="79"/>
      <c r="AD12" s="79"/>
      <c r="AI12" s="80"/>
      <c r="AJ12" s="80"/>
      <c r="AL12" s="79"/>
      <c r="AM12" s="79"/>
      <c r="AR12" s="80"/>
      <c r="AS12" s="80"/>
      <c r="AU12" s="79"/>
      <c r="AV12" s="79"/>
      <c r="BA12" s="80"/>
      <c r="BB12" s="80"/>
      <c r="BD12" s="79"/>
      <c r="BE12" s="79"/>
    </row>
    <row r="13" spans="1:57" ht="15.75" customHeight="1" thickTop="1" thickBot="1" x14ac:dyDescent="0.25">
      <c r="A13" s="229" t="s">
        <v>41</v>
      </c>
      <c r="B13" s="229">
        <f>[21]Mode_PA_l_f0_b1!C10</f>
        <v>2.7330000000000001</v>
      </c>
      <c r="C13" s="229">
        <f>[21]Mode_PA_l_f0_b1!D10</f>
        <v>2.2651751197030698</v>
      </c>
      <c r="D13" s="229">
        <f>[21]Mode_PA_l_f0_b1!E10</f>
        <v>3.20129385599936</v>
      </c>
      <c r="E13" s="230">
        <f>[21]Mode_PA_l_f0_b1!F10</f>
        <v>0.23799999999999999</v>
      </c>
      <c r="F13" s="230">
        <f>[21]Mode_PA_l_f0_b1!G10</f>
        <v>11.468</v>
      </c>
      <c r="G13" s="230">
        <f>[21]Mode_PA_l_f0_b1!H10</f>
        <v>599.17999999999995</v>
      </c>
      <c r="H13" s="242">
        <f>[21]Mode_PA_l_f0_b1!I10</f>
        <v>1.2E-27</v>
      </c>
      <c r="I13" s="242">
        <f>[21]Mode_PA_l_f0_b1!J10</f>
        <v>1.9000000000000001E-26</v>
      </c>
      <c r="J13" s="232" t="str">
        <f>[21]Mode_PA_l_f0_b1!K10</f>
        <v>p&lt;0.0001</v>
      </c>
      <c r="K13" s="181">
        <f>B13-C13</f>
        <v>0.46782488029693026</v>
      </c>
      <c r="L13" s="79"/>
      <c r="Q13" s="80"/>
      <c r="R13" s="80"/>
      <c r="T13" s="79"/>
      <c r="U13" s="79"/>
      <c r="Z13" s="80"/>
      <c r="AA13" s="80"/>
      <c r="AC13" s="79"/>
      <c r="AD13" s="79"/>
      <c r="AI13" s="80"/>
      <c r="AJ13" s="80"/>
      <c r="AL13" s="79"/>
      <c r="AM13" s="79"/>
      <c r="AR13" s="80"/>
      <c r="AS13" s="80"/>
      <c r="AU13" s="79"/>
      <c r="AV13" s="79"/>
      <c r="BA13" s="80"/>
      <c r="BB13" s="80"/>
      <c r="BD13" s="79"/>
      <c r="BE13" s="79"/>
    </row>
    <row r="14" spans="1:57" ht="15.75" customHeight="1" thickBot="1" x14ac:dyDescent="0.25">
      <c r="A14" s="233" t="s">
        <v>42</v>
      </c>
      <c r="B14" s="233">
        <f>[22]Mode_PA_h_f0_b1!C10</f>
        <v>3.5680000000000001</v>
      </c>
      <c r="C14" s="233">
        <f>[22]Mode_PA_h_f0_b1!D10</f>
        <v>2.9027965666353199</v>
      </c>
      <c r="D14" s="233">
        <f>[22]Mode_PA_h_f0_b1!E10</f>
        <v>4.2336322711520298</v>
      </c>
      <c r="E14" s="234">
        <f>[22]Mode_PA_h_f0_b1!F10</f>
        <v>0.33900000000000002</v>
      </c>
      <c r="F14" s="234">
        <f>[22]Mode_PA_h_f0_b1!G10</f>
        <v>10.531000000000001</v>
      </c>
      <c r="G14" s="234">
        <f>[22]Mode_PA_h_f0_b1!H10</f>
        <v>610.69000000000005</v>
      </c>
      <c r="H14" s="242">
        <f>[22]Mode_PA_h_f0_b1!I10</f>
        <v>6.1000000000000004E-24</v>
      </c>
      <c r="I14" s="242">
        <f>[22]Mode_PA_h_f0_b1!J10</f>
        <v>8.4999999999999996E-23</v>
      </c>
      <c r="J14" s="232" t="str">
        <f>[22]Mode_PA_h_f0_b1!K10</f>
        <v>p&lt;0.0001</v>
      </c>
      <c r="K14" s="181">
        <f t="shared" ref="K14:K16" si="4">B14-C14</f>
        <v>0.66520343336468013</v>
      </c>
      <c r="L14" s="79"/>
      <c r="Q14" s="80"/>
      <c r="R14" s="80"/>
      <c r="T14" s="79"/>
      <c r="U14" s="79"/>
      <c r="Z14" s="80"/>
      <c r="AA14" s="80"/>
      <c r="AC14" s="79"/>
      <c r="AD14" s="79"/>
      <c r="AI14" s="80"/>
      <c r="AJ14" s="80"/>
      <c r="AL14" s="79"/>
      <c r="AM14" s="79"/>
      <c r="AR14" s="80"/>
      <c r="AS14" s="80"/>
      <c r="AU14" s="79"/>
      <c r="AV14" s="79"/>
      <c r="BA14" s="80"/>
      <c r="BB14" s="80"/>
      <c r="BD14" s="79"/>
      <c r="BE14" s="79"/>
    </row>
    <row r="15" spans="1:57" ht="15.75" customHeight="1" thickBot="1" x14ac:dyDescent="0.25">
      <c r="A15" s="236" t="s">
        <v>4</v>
      </c>
      <c r="B15" s="236">
        <f>[23]Mode_PA_l_t_b1!C10</f>
        <v>-2.0190000000000001</v>
      </c>
      <c r="C15" s="236">
        <f>[23]Mode_PA_l_t_b1!D10</f>
        <v>-8.6991730733742596</v>
      </c>
      <c r="D15" s="236">
        <f>[23]Mode_PA_l_t_b1!E10</f>
        <v>4.6607931810943404</v>
      </c>
      <c r="E15" s="230">
        <f>[23]Mode_PA_l_t_b1!F10</f>
        <v>3.4009999999999998</v>
      </c>
      <c r="F15" s="230">
        <f>[23]Mode_PA_l_t_b1!G10</f>
        <v>-0.59399999999999997</v>
      </c>
      <c r="G15" s="230">
        <f>[23]Mode_PA_l_t_b1!H10</f>
        <v>608.59</v>
      </c>
      <c r="H15" s="235">
        <f>[23]Mode_PA_l_t_b1!I10</f>
        <v>0.55300000000000005</v>
      </c>
      <c r="I15" s="235">
        <f>[23]Mode_PA_l_t_b1!J10</f>
        <v>0.64600000000000002</v>
      </c>
      <c r="J15" s="232">
        <f>[23]Mode_PA_l_t_b1!K10</f>
        <v>0</v>
      </c>
      <c r="K15" s="181">
        <f t="shared" si="4"/>
        <v>6.6801730733742595</v>
      </c>
      <c r="L15" s="79"/>
      <c r="Q15" s="80"/>
      <c r="R15" s="80"/>
      <c r="T15" s="79"/>
      <c r="U15" s="79"/>
      <c r="Z15" s="80"/>
      <c r="AA15" s="80"/>
      <c r="AC15" s="79"/>
      <c r="AD15" s="79"/>
      <c r="AI15" s="80"/>
      <c r="AJ15" s="80"/>
      <c r="AL15" s="79"/>
      <c r="AM15" s="79"/>
      <c r="AR15" s="80"/>
      <c r="AS15" s="80"/>
      <c r="AU15" s="79"/>
      <c r="AV15" s="79"/>
      <c r="BA15" s="80"/>
      <c r="BB15" s="80"/>
      <c r="BD15" s="79"/>
      <c r="BE15" s="79"/>
    </row>
    <row r="16" spans="1:57" ht="15.75" customHeight="1" thickBot="1" x14ac:dyDescent="0.25">
      <c r="A16" s="237" t="s">
        <v>3</v>
      </c>
      <c r="B16" s="237">
        <f>[24]Mode_PA_h_t_b1!C10</f>
        <v>-0.60599999999999998</v>
      </c>
      <c r="C16" s="237">
        <f>[24]Mode_PA_h_t_b1!D10</f>
        <v>-10.544624522024501</v>
      </c>
      <c r="D16" s="237">
        <f>[24]Mode_PA_h_t_b1!E10</f>
        <v>9.3327365828932507</v>
      </c>
      <c r="E16" s="239">
        <f>[24]Mode_PA_h_t_b1!F10</f>
        <v>5.0609999999999999</v>
      </c>
      <c r="F16" s="239">
        <f>[24]Mode_PA_h_t_b1!G10</f>
        <v>-0.12</v>
      </c>
      <c r="G16" s="239">
        <f>[24]Mode_PA_h_t_b1!H10</f>
        <v>609.58000000000004</v>
      </c>
      <c r="H16" s="243">
        <f>[24]Mode_PA_h_t_b1!I10</f>
        <v>0.90500000000000003</v>
      </c>
      <c r="I16" s="243">
        <f>[24]Mode_PA_h_t_b1!J10</f>
        <v>0.93799999999999994</v>
      </c>
      <c r="J16" s="241">
        <f>[24]Mode_PA_h_t_b1!K10</f>
        <v>0</v>
      </c>
      <c r="K16" s="181">
        <f t="shared" si="4"/>
        <v>9.9386245220245009</v>
      </c>
      <c r="L16" s="79"/>
      <c r="Q16" s="80"/>
      <c r="R16" s="80"/>
      <c r="T16" s="79"/>
      <c r="U16" s="79"/>
      <c r="Z16" s="80"/>
      <c r="AA16" s="80"/>
      <c r="AC16" s="79"/>
      <c r="AD16" s="79"/>
      <c r="AI16" s="80"/>
      <c r="AJ16" s="80"/>
      <c r="AL16" s="79"/>
      <c r="AM16" s="79"/>
      <c r="AR16" s="80"/>
      <c r="AS16" s="80"/>
      <c r="AU16" s="79"/>
      <c r="AV16" s="79"/>
      <c r="BA16" s="80"/>
      <c r="BB16" s="80"/>
      <c r="BD16" s="79"/>
      <c r="BE16" s="79"/>
    </row>
    <row r="17" spans="1:57" ht="15.75" customHeight="1" thickTop="1" thickBot="1" x14ac:dyDescent="0.25">
      <c r="A17" s="65" t="s">
        <v>86</v>
      </c>
      <c r="B17" s="65" t="str">
        <f t="shared" ref="B17:J17" si="5">B12</f>
        <v>est.</v>
      </c>
      <c r="C17" s="65" t="str">
        <f t="shared" si="5"/>
        <v>2.5% CI</v>
      </c>
      <c r="D17" s="65" t="str">
        <f t="shared" si="5"/>
        <v>97.5% CI</v>
      </c>
      <c r="E17" s="65" t="str">
        <f t="shared" si="5"/>
        <v>std.error</v>
      </c>
      <c r="F17" s="65" t="str">
        <f t="shared" si="5"/>
        <v>t</v>
      </c>
      <c r="G17" s="65" t="str">
        <f t="shared" si="5"/>
        <v>df</v>
      </c>
      <c r="H17" s="81" t="str">
        <f t="shared" si="5"/>
        <v>p. val.</v>
      </c>
      <c r="I17" s="81" t="str">
        <f t="shared" si="5"/>
        <v>p.adj.</v>
      </c>
      <c r="J17" s="66" t="str">
        <f t="shared" si="5"/>
        <v>sig.</v>
      </c>
      <c r="K17" s="180" t="s">
        <v>64</v>
      </c>
      <c r="L17" s="79"/>
      <c r="Q17" s="80"/>
      <c r="R17" s="80"/>
      <c r="T17" s="79"/>
      <c r="U17" s="79"/>
      <c r="Z17" s="80"/>
      <c r="AA17" s="80"/>
      <c r="AC17" s="79"/>
      <c r="AD17" s="79"/>
      <c r="AI17" s="80"/>
      <c r="AJ17" s="80"/>
      <c r="AL17" s="79"/>
      <c r="AM17" s="79"/>
      <c r="AR17" s="80"/>
      <c r="AS17" s="80"/>
      <c r="AU17" s="79"/>
      <c r="AV17" s="79"/>
      <c r="BA17" s="80"/>
      <c r="BB17" s="80"/>
      <c r="BD17" s="79"/>
      <c r="BE17" s="79"/>
    </row>
    <row r="18" spans="1:57" ht="15.75" customHeight="1" thickTop="1" thickBot="1" x14ac:dyDescent="0.25">
      <c r="A18" s="229" t="s">
        <v>41</v>
      </c>
      <c r="B18" s="229">
        <f>[21]Mode_PA_l_f0_b1!C11</f>
        <v>-2.1640000000000001</v>
      </c>
      <c r="C18" s="229">
        <f>[21]Mode_PA_l_f0_b1!D11</f>
        <v>-3.6806370499734702</v>
      </c>
      <c r="D18" s="229">
        <f>[21]Mode_PA_l_f0_b1!E11</f>
        <v>-0.64676155498061305</v>
      </c>
      <c r="E18" s="230">
        <f>[21]Mode_PA_l_f0_b1!F11</f>
        <v>0.77200000000000002</v>
      </c>
      <c r="F18" s="230">
        <f>[21]Mode_PA_l_f0_b1!G11</f>
        <v>-2.8010000000000002</v>
      </c>
      <c r="G18" s="230">
        <f>[21]Mode_PA_l_f0_b1!H11</f>
        <v>600.20000000000005</v>
      </c>
      <c r="H18" s="231">
        <f>[21]Mode_PA_l_f0_b1!I11</f>
        <v>5.0000000000000001E-3</v>
      </c>
      <c r="I18" s="231">
        <f>[21]Mode_PA_l_f0_b1!J11</f>
        <v>8.9999999999999993E-3</v>
      </c>
      <c r="J18" s="232" t="str">
        <f>[21]Mode_PA_l_f0_b1!K11</f>
        <v>p&lt;0.01</v>
      </c>
      <c r="K18" s="181">
        <f>B18-C18</f>
        <v>1.51663704997347</v>
      </c>
      <c r="L18" s="79"/>
      <c r="Q18" s="80"/>
      <c r="R18" s="80"/>
      <c r="T18" s="79"/>
      <c r="U18" s="79"/>
      <c r="Z18" s="80"/>
      <c r="AA18" s="80"/>
      <c r="AC18" s="79"/>
      <c r="AD18" s="79"/>
      <c r="AI18" s="80"/>
      <c r="AJ18" s="80"/>
      <c r="AL18" s="79"/>
      <c r="AM18" s="79"/>
      <c r="AR18" s="80"/>
      <c r="AS18" s="80"/>
      <c r="AU18" s="79"/>
      <c r="AV18" s="79"/>
      <c r="BA18" s="80"/>
      <c r="BB18" s="80"/>
      <c r="BD18" s="79"/>
      <c r="BE18" s="79"/>
    </row>
    <row r="19" spans="1:57" ht="15.75" customHeight="1" thickBot="1" x14ac:dyDescent="0.25">
      <c r="A19" s="233" t="s">
        <v>42</v>
      </c>
      <c r="B19" s="233">
        <f>[22]Mode_PA_h_f0_b1!C11</f>
        <v>3.85</v>
      </c>
      <c r="C19" s="233">
        <f>[22]Mode_PA_h_f0_b1!D11</f>
        <v>1.6272669506864601</v>
      </c>
      <c r="D19" s="233">
        <f>[22]Mode_PA_h_f0_b1!E11</f>
        <v>6.0724281061155496</v>
      </c>
      <c r="E19" s="234">
        <f>[22]Mode_PA_h_f0_b1!F11</f>
        <v>1.1319999999999999</v>
      </c>
      <c r="F19" s="234">
        <f>[22]Mode_PA_h_f0_b1!G11</f>
        <v>3.4020000000000001</v>
      </c>
      <c r="G19" s="234">
        <f>[22]Mode_PA_h_f0_b1!H11</f>
        <v>611</v>
      </c>
      <c r="H19" s="231">
        <f>[22]Mode_PA_h_f0_b1!I11</f>
        <v>7.1000000000000002E-4</v>
      </c>
      <c r="I19" s="231">
        <f>[22]Mode_PA_h_f0_b1!J11</f>
        <v>2E-3</v>
      </c>
      <c r="J19" s="232" t="str">
        <f>[22]Mode_PA_h_f0_b1!K11</f>
        <v>p&lt;0.01</v>
      </c>
      <c r="K19" s="181">
        <f t="shared" ref="K19:K21" si="6">B19-C19</f>
        <v>2.2227330493135398</v>
      </c>
      <c r="L19" s="79"/>
      <c r="Q19" s="80"/>
      <c r="R19" s="80"/>
      <c r="T19" s="79"/>
      <c r="U19" s="79"/>
      <c r="Z19" s="80"/>
      <c r="AA19" s="80"/>
      <c r="AC19" s="79"/>
      <c r="AD19" s="79"/>
      <c r="AI19" s="80"/>
      <c r="AJ19" s="80"/>
      <c r="AL19" s="79"/>
      <c r="AM19" s="79"/>
      <c r="AR19" s="80"/>
      <c r="AS19" s="80"/>
      <c r="AU19" s="79"/>
      <c r="AV19" s="79"/>
      <c r="BA19" s="80"/>
      <c r="BB19" s="80"/>
      <c r="BD19" s="79"/>
      <c r="BE19" s="79"/>
    </row>
    <row r="20" spans="1:57" ht="15.75" customHeight="1" thickBot="1" x14ac:dyDescent="0.25">
      <c r="A20" s="236" t="s">
        <v>4</v>
      </c>
      <c r="B20" s="236">
        <f>[23]Mode_PA_l_t_b1!C11</f>
        <v>-17.905000000000001</v>
      </c>
      <c r="C20" s="236">
        <f>[23]Mode_PA_l_t_b1!D11</f>
        <v>-40.173241334541203</v>
      </c>
      <c r="D20" s="236">
        <f>[23]Mode_PA_l_t_b1!E11</f>
        <v>4.3636491167081601</v>
      </c>
      <c r="E20" s="230">
        <f>[23]Mode_PA_l_t_b1!F11</f>
        <v>11.339</v>
      </c>
      <c r="F20" s="230">
        <f>[23]Mode_PA_l_t_b1!G11</f>
        <v>-1.579</v>
      </c>
      <c r="G20" s="230">
        <f>[23]Mode_PA_l_t_b1!H11</f>
        <v>605.26</v>
      </c>
      <c r="H20" s="235">
        <f>[23]Mode_PA_l_t_b1!I11</f>
        <v>0.115</v>
      </c>
      <c r="I20" s="235">
        <f>[23]Mode_PA_l_t_b1!J11</f>
        <v>0.17100000000000001</v>
      </c>
      <c r="J20" s="232">
        <f>[23]Mode_PA_l_t_b1!K11</f>
        <v>0</v>
      </c>
      <c r="K20" s="181">
        <f t="shared" si="6"/>
        <v>22.268241334541202</v>
      </c>
      <c r="L20" s="79"/>
      <c r="Q20" s="80"/>
      <c r="R20" s="80"/>
      <c r="T20" s="79"/>
      <c r="U20" s="79"/>
      <c r="Z20" s="80"/>
      <c r="AA20" s="80"/>
      <c r="AC20" s="79"/>
      <c r="AD20" s="79"/>
      <c r="AI20" s="80"/>
      <c r="AJ20" s="80"/>
      <c r="AL20" s="79"/>
      <c r="AM20" s="79"/>
      <c r="AR20" s="80"/>
      <c r="AS20" s="80"/>
      <c r="AU20" s="79"/>
      <c r="AV20" s="79"/>
      <c r="BA20" s="80"/>
      <c r="BB20" s="80"/>
      <c r="BD20" s="79"/>
      <c r="BE20" s="79"/>
    </row>
    <row r="21" spans="1:57" ht="15.75" customHeight="1" thickBot="1" x14ac:dyDescent="0.25">
      <c r="A21" s="237" t="s">
        <v>3</v>
      </c>
      <c r="B21" s="236">
        <f>[24]Mode_PA_h_t_b1!C11</f>
        <v>49.021000000000001</v>
      </c>
      <c r="C21" s="236">
        <f>[24]Mode_PA_h_t_b1!D11</f>
        <v>15.837034689771899</v>
      </c>
      <c r="D21" s="236">
        <f>[24]Mode_PA_h_t_b1!E11</f>
        <v>82.204996663470496</v>
      </c>
      <c r="E21" s="230">
        <f>[24]Mode_PA_h_t_b1!F11</f>
        <v>16.896999999999998</v>
      </c>
      <c r="F21" s="230">
        <f>[24]Mode_PA_h_t_b1!G11</f>
        <v>2.9009999999999998</v>
      </c>
      <c r="G21" s="230">
        <f>[24]Mode_PA_h_t_b1!H11</f>
        <v>609.64</v>
      </c>
      <c r="H21" s="231">
        <f>[24]Mode_PA_h_t_b1!I11</f>
        <v>4.0000000000000001E-3</v>
      </c>
      <c r="I21" s="231">
        <f>[24]Mode_PA_h_t_b1!J11</f>
        <v>7.0000000000000001E-3</v>
      </c>
      <c r="J21" s="232" t="str">
        <f>[24]Mode_PA_h_t_b1!K11</f>
        <v>p&lt;0.01</v>
      </c>
      <c r="K21" s="181">
        <f t="shared" si="6"/>
        <v>33.183965310228103</v>
      </c>
      <c r="L21" s="79"/>
      <c r="Q21" s="80"/>
      <c r="R21" s="80"/>
      <c r="T21" s="79"/>
      <c r="U21" s="79"/>
      <c r="Z21" s="80"/>
      <c r="AA21" s="80"/>
      <c r="AC21" s="79"/>
      <c r="AD21" s="79"/>
      <c r="AI21" s="80"/>
      <c r="AJ21" s="80"/>
      <c r="AL21" s="79"/>
      <c r="AM21" s="79"/>
      <c r="AR21" s="80"/>
      <c r="AS21" s="80"/>
      <c r="AU21" s="79"/>
      <c r="AV21" s="79"/>
      <c r="BA21" s="80"/>
      <c r="BB21" s="80"/>
      <c r="BD21" s="79"/>
      <c r="BE21" s="79"/>
    </row>
    <row r="22" spans="1:57" ht="15.75" customHeight="1" thickTop="1" thickBot="1" x14ac:dyDescent="0.25">
      <c r="A22" s="65" t="s">
        <v>87</v>
      </c>
      <c r="B22" s="65" t="str">
        <f t="shared" ref="B22:J22" si="7">B17</f>
        <v>est.</v>
      </c>
      <c r="C22" s="65" t="str">
        <f t="shared" si="7"/>
        <v>2.5% CI</v>
      </c>
      <c r="D22" s="65" t="str">
        <f t="shared" si="7"/>
        <v>97.5% CI</v>
      </c>
      <c r="E22" s="65" t="str">
        <f t="shared" si="7"/>
        <v>std.error</v>
      </c>
      <c r="F22" s="65" t="str">
        <f t="shared" si="7"/>
        <v>t</v>
      </c>
      <c r="G22" s="65" t="str">
        <f t="shared" si="7"/>
        <v>df</v>
      </c>
      <c r="H22" s="81" t="str">
        <f t="shared" si="7"/>
        <v>p. val.</v>
      </c>
      <c r="I22" s="81" t="str">
        <f t="shared" si="7"/>
        <v>p.adj.</v>
      </c>
      <c r="J22" s="66" t="str">
        <f t="shared" si="7"/>
        <v>sig.</v>
      </c>
      <c r="K22" s="180" t="s">
        <v>64</v>
      </c>
      <c r="L22" s="79"/>
      <c r="Q22" s="80"/>
      <c r="R22" s="80"/>
      <c r="T22" s="79"/>
      <c r="U22" s="79"/>
      <c r="Z22" s="80"/>
      <c r="AA22" s="80"/>
      <c r="AC22" s="79"/>
      <c r="AD22" s="79"/>
      <c r="AI22" s="80"/>
      <c r="AJ22" s="80"/>
      <c r="AL22" s="79"/>
      <c r="AM22" s="79"/>
      <c r="AR22" s="80"/>
      <c r="AS22" s="80"/>
      <c r="AU22" s="79"/>
      <c r="AV22" s="79"/>
      <c r="BA22" s="80"/>
      <c r="BB22" s="80"/>
      <c r="BD22" s="79"/>
      <c r="BE22" s="79"/>
    </row>
    <row r="23" spans="1:57" ht="15.75" customHeight="1" thickTop="1" thickBot="1" x14ac:dyDescent="0.25">
      <c r="A23" s="229" t="s">
        <v>41</v>
      </c>
      <c r="B23" s="229">
        <f>[21]Mode_PA_l_f0_b1!C12</f>
        <v>-0.14699999999999999</v>
      </c>
      <c r="C23" s="229">
        <f>[21]Mode_PA_l_f0_b1!D12</f>
        <v>-1.5892615115800499</v>
      </c>
      <c r="D23" s="229">
        <f>[21]Mode_PA_l_f0_b1!E12</f>
        <v>1.2956835949843299</v>
      </c>
      <c r="E23" s="230">
        <f>[21]Mode_PA_l_f0_b1!F12</f>
        <v>0.73399999999999999</v>
      </c>
      <c r="F23" s="230">
        <f>[21]Mode_PA_l_f0_b1!G12</f>
        <v>-0.2</v>
      </c>
      <c r="G23" s="230">
        <f>[21]Mode_PA_l_f0_b1!H12</f>
        <v>599.91</v>
      </c>
      <c r="H23" s="235">
        <f>[21]Mode_PA_l_f0_b1!I12</f>
        <v>0.84199999999999997</v>
      </c>
      <c r="I23" s="235">
        <f>[21]Mode_PA_l_f0_b1!J12</f>
        <v>0.92800000000000005</v>
      </c>
      <c r="J23" s="232">
        <f>[21]Mode_PA_l_f0_b1!K12</f>
        <v>0</v>
      </c>
      <c r="K23" s="181">
        <f>B23-C23</f>
        <v>1.4422615115800499</v>
      </c>
      <c r="L23" s="79"/>
      <c r="Q23" s="80"/>
      <c r="R23" s="80"/>
      <c r="T23" s="79"/>
      <c r="U23" s="79"/>
      <c r="Z23" s="80"/>
      <c r="AA23" s="80"/>
      <c r="AC23" s="79"/>
      <c r="AD23" s="79"/>
      <c r="AI23" s="80"/>
      <c r="AJ23" s="80"/>
      <c r="AL23" s="79"/>
      <c r="AM23" s="79"/>
      <c r="AR23" s="80"/>
      <c r="AS23" s="80"/>
      <c r="AU23" s="79"/>
      <c r="AV23" s="79"/>
      <c r="BA23" s="80"/>
      <c r="BB23" s="80"/>
      <c r="BD23" s="79"/>
      <c r="BE23" s="79"/>
    </row>
    <row r="24" spans="1:57" ht="15.75" customHeight="1" thickBot="1" x14ac:dyDescent="0.25">
      <c r="A24" s="233" t="s">
        <v>42</v>
      </c>
      <c r="B24" s="233">
        <f>[22]Mode_PA_h_f0_b1!C12</f>
        <v>3.8410000000000002</v>
      </c>
      <c r="C24" s="233">
        <f>[22]Mode_PA_h_f0_b1!D12</f>
        <v>1.7225676834208301</v>
      </c>
      <c r="D24" s="233">
        <f>[22]Mode_PA_h_f0_b1!E12</f>
        <v>5.9600122655439902</v>
      </c>
      <c r="E24" s="234">
        <f>[22]Mode_PA_h_f0_b1!F12</f>
        <v>1.079</v>
      </c>
      <c r="F24" s="234">
        <f>[22]Mode_PA_h_f0_b1!G12</f>
        <v>3.5609999999999999</v>
      </c>
      <c r="G24" s="234">
        <f>[22]Mode_PA_h_f0_b1!H12</f>
        <v>610.77</v>
      </c>
      <c r="H24" s="231">
        <f>[22]Mode_PA_h_f0_b1!I12</f>
        <v>4.0000000000000002E-4</v>
      </c>
      <c r="I24" s="231">
        <f>[22]Mode_PA_h_f0_b1!J12</f>
        <v>1E-3</v>
      </c>
      <c r="J24" s="232" t="str">
        <f>[22]Mode_PA_h_f0_b1!K12</f>
        <v>p&lt;0.01</v>
      </c>
      <c r="K24" s="181">
        <f t="shared" ref="K24:K26" si="8">B24-C24</f>
        <v>2.1184323165791703</v>
      </c>
      <c r="L24" s="79"/>
      <c r="Q24" s="80"/>
      <c r="R24" s="80"/>
      <c r="T24" s="79"/>
      <c r="U24" s="79"/>
      <c r="Z24" s="80"/>
      <c r="AA24" s="80"/>
      <c r="AC24" s="79"/>
      <c r="AD24" s="79"/>
      <c r="AI24" s="80"/>
      <c r="AJ24" s="80"/>
      <c r="AL24" s="79"/>
      <c r="AM24" s="79"/>
      <c r="AR24" s="80"/>
      <c r="AS24" s="80"/>
      <c r="AU24" s="79"/>
      <c r="AV24" s="79"/>
      <c r="BA24" s="80"/>
      <c r="BB24" s="80"/>
      <c r="BD24" s="79"/>
      <c r="BE24" s="79"/>
    </row>
    <row r="25" spans="1:57" ht="15.75" customHeight="1" thickBot="1" x14ac:dyDescent="0.25">
      <c r="A25" s="237" t="s">
        <v>4</v>
      </c>
      <c r="B25" s="236">
        <f>[23]Mode_PA_l_t_b1!C12</f>
        <v>-15.861000000000001</v>
      </c>
      <c r="C25" s="236">
        <f>[23]Mode_PA_l_t_b1!D12</f>
        <v>-37.137151826048502</v>
      </c>
      <c r="D25" s="236">
        <f>[23]Mode_PA_l_t_b1!E12</f>
        <v>5.41569007626219</v>
      </c>
      <c r="E25" s="230">
        <f>[23]Mode_PA_l_t_b1!F12</f>
        <v>10.834</v>
      </c>
      <c r="F25" s="230">
        <f>[23]Mode_PA_l_t_b1!G12</f>
        <v>-1.464</v>
      </c>
      <c r="G25" s="230">
        <f>[23]Mode_PA_l_t_b1!H12</f>
        <v>608.38</v>
      </c>
      <c r="H25" s="235">
        <f>[23]Mode_PA_l_t_b1!I12</f>
        <v>0.14399999999999999</v>
      </c>
      <c r="I25" s="235">
        <f>[23]Mode_PA_l_t_b1!J12</f>
        <v>0.20499999999999999</v>
      </c>
      <c r="J25" s="232">
        <f>[23]Mode_PA_l_t_b1!K12</f>
        <v>0</v>
      </c>
      <c r="K25" s="181">
        <f t="shared" si="8"/>
        <v>21.276151826048501</v>
      </c>
      <c r="L25" s="79"/>
      <c r="Q25" s="80"/>
      <c r="R25" s="80"/>
      <c r="T25" s="79"/>
      <c r="U25" s="79"/>
      <c r="Z25" s="80"/>
      <c r="AA25" s="80"/>
      <c r="AC25" s="79"/>
      <c r="AD25" s="79"/>
      <c r="AI25" s="80"/>
      <c r="AJ25" s="80"/>
      <c r="AL25" s="79"/>
      <c r="AM25" s="79"/>
      <c r="AR25" s="80"/>
      <c r="AS25" s="80"/>
      <c r="AU25" s="79"/>
      <c r="AV25" s="79"/>
      <c r="BA25" s="80"/>
      <c r="BB25" s="80"/>
      <c r="BD25" s="79"/>
      <c r="BE25" s="79"/>
    </row>
    <row r="26" spans="1:57" ht="15.75" customHeight="1" thickBot="1" x14ac:dyDescent="0.25">
      <c r="A26" s="244" t="s">
        <v>3</v>
      </c>
      <c r="B26" s="237">
        <f>[24]Mode_PA_h_t_b1!C12</f>
        <v>49.276000000000003</v>
      </c>
      <c r="C26" s="237">
        <f>[24]Mode_PA_h_t_b1!D12</f>
        <v>17.576636459691901</v>
      </c>
      <c r="D26" s="237">
        <f>[24]Mode_PA_h_t_b1!E12</f>
        <v>80.975401982322097</v>
      </c>
      <c r="E26" s="239">
        <f>[24]Mode_PA_h_t_b1!F12</f>
        <v>16.140999999999998</v>
      </c>
      <c r="F26" s="239">
        <f>[24]Mode_PA_h_t_b1!G12</f>
        <v>3.0529999999999999</v>
      </c>
      <c r="G26" s="239">
        <f>[24]Mode_PA_h_t_b1!H12</f>
        <v>609.27</v>
      </c>
      <c r="H26" s="240">
        <f>[24]Mode_PA_h_t_b1!I12</f>
        <v>2E-3</v>
      </c>
      <c r="I26" s="240">
        <f>[24]Mode_PA_h_t_b1!J12</f>
        <v>4.0000000000000001E-3</v>
      </c>
      <c r="J26" s="241" t="str">
        <f>[24]Mode_PA_h_t_b1!K12</f>
        <v>p&lt;0.01</v>
      </c>
      <c r="K26" s="181">
        <f t="shared" si="8"/>
        <v>31.699363540308102</v>
      </c>
      <c r="L26" s="79"/>
      <c r="Q26" s="80"/>
      <c r="R26" s="80"/>
      <c r="T26" s="79"/>
      <c r="U26" s="79"/>
      <c r="Z26" s="80"/>
      <c r="AA26" s="80"/>
      <c r="AC26" s="79"/>
      <c r="AD26" s="79"/>
      <c r="AI26" s="80"/>
      <c r="AJ26" s="80"/>
      <c r="AL26" s="79"/>
      <c r="AM26" s="79"/>
      <c r="AR26" s="80"/>
      <c r="AS26" s="80"/>
      <c r="AU26" s="79"/>
      <c r="AV26" s="79"/>
      <c r="BA26" s="80"/>
      <c r="BB26" s="80"/>
      <c r="BD26" s="79"/>
      <c r="BE26" s="79"/>
    </row>
    <row r="27" spans="1:57" ht="15.75" customHeight="1" thickTop="1" thickBot="1" x14ac:dyDescent="0.25">
      <c r="A27" s="65" t="s">
        <v>88</v>
      </c>
      <c r="B27" s="65" t="str">
        <f t="shared" ref="B27:J27" si="9">B22</f>
        <v>est.</v>
      </c>
      <c r="C27" s="65" t="str">
        <f t="shared" si="9"/>
        <v>2.5% CI</v>
      </c>
      <c r="D27" s="65" t="str">
        <f t="shared" si="9"/>
        <v>97.5% CI</v>
      </c>
      <c r="E27" s="65" t="str">
        <f t="shared" si="9"/>
        <v>std.error</v>
      </c>
      <c r="F27" s="65" t="str">
        <f t="shared" si="9"/>
        <v>t</v>
      </c>
      <c r="G27" s="65" t="str">
        <f t="shared" si="9"/>
        <v>df</v>
      </c>
      <c r="H27" s="81" t="str">
        <f t="shared" si="9"/>
        <v>p. val.</v>
      </c>
      <c r="I27" s="81" t="str">
        <f t="shared" si="9"/>
        <v>p.adj.</v>
      </c>
      <c r="J27" s="81" t="str">
        <f t="shared" si="9"/>
        <v>sig.</v>
      </c>
      <c r="K27" s="180" t="s">
        <v>64</v>
      </c>
      <c r="L27" s="79"/>
      <c r="Q27" s="80"/>
      <c r="R27" s="80"/>
      <c r="T27" s="79"/>
      <c r="U27" s="79"/>
      <c r="Z27" s="80"/>
      <c r="AA27" s="80"/>
      <c r="AC27" s="79"/>
      <c r="AD27" s="79"/>
      <c r="AI27" s="80"/>
      <c r="AJ27" s="80"/>
      <c r="AL27" s="79"/>
      <c r="AM27" s="79"/>
      <c r="AR27" s="80"/>
      <c r="AS27" s="80"/>
      <c r="AU27" s="79"/>
      <c r="AV27" s="79"/>
      <c r="BA27" s="80"/>
      <c r="BB27" s="80"/>
      <c r="BD27" s="79"/>
      <c r="BE27" s="79"/>
    </row>
    <row r="28" spans="1:57" ht="15.75" customHeight="1" thickTop="1" thickBot="1" x14ac:dyDescent="0.25">
      <c r="A28" s="229" t="s">
        <v>41</v>
      </c>
      <c r="B28" s="229">
        <f>[21]Mode_PA_l_f0_b1!C13</f>
        <v>2.0169999999999999</v>
      </c>
      <c r="C28" s="229">
        <f>[21]Mode_PA_l_f0_b1!D13</f>
        <v>1.43143752895072</v>
      </c>
      <c r="D28" s="229">
        <f>[21]Mode_PA_l_f0_b1!E13</f>
        <v>2.6023831583079602</v>
      </c>
      <c r="E28" s="230">
        <f>[21]Mode_PA_l_f0_b1!F13</f>
        <v>0.29799999999999999</v>
      </c>
      <c r="F28" s="230">
        <f>[21]Mode_PA_l_f0_b1!G13</f>
        <v>6.766</v>
      </c>
      <c r="G28" s="230">
        <f>[21]Mode_PA_l_f0_b1!H13</f>
        <v>599.44000000000005</v>
      </c>
      <c r="H28" s="231">
        <f>[21]Mode_PA_l_f0_b1!I13</f>
        <v>3.1999999999999999E-11</v>
      </c>
      <c r="I28" s="231">
        <f>[21]Mode_PA_l_f0_b1!J13</f>
        <v>1.5E-10</v>
      </c>
      <c r="J28" s="232" t="str">
        <f>[21]Mode_PA_l_f0_b1!K13</f>
        <v>p&lt;0.0001</v>
      </c>
      <c r="K28" s="181">
        <f>B28-C28</f>
        <v>0.58556247104927994</v>
      </c>
      <c r="L28" s="79"/>
      <c r="Q28" s="80"/>
      <c r="R28" s="80"/>
      <c r="T28" s="79"/>
      <c r="U28" s="79"/>
      <c r="Z28" s="80"/>
      <c r="AA28" s="80"/>
      <c r="AC28" s="79"/>
      <c r="AD28" s="79"/>
      <c r="AI28" s="80"/>
      <c r="AJ28" s="80"/>
      <c r="AL28" s="79"/>
      <c r="AM28" s="79"/>
      <c r="AR28" s="80"/>
      <c r="AS28" s="80"/>
      <c r="AU28" s="79"/>
      <c r="AV28" s="79"/>
      <c r="BA28" s="80"/>
      <c r="BB28" s="80"/>
      <c r="BD28" s="79"/>
      <c r="BE28" s="79"/>
    </row>
    <row r="29" spans="1:57" ht="15.75" customHeight="1" thickBot="1" x14ac:dyDescent="0.25">
      <c r="A29" s="233" t="s">
        <v>42</v>
      </c>
      <c r="B29" s="233">
        <f>[22]Mode_PA_h_f0_b1!C13</f>
        <v>-8.9999999999999993E-3</v>
      </c>
      <c r="C29" s="233">
        <f>[22]Mode_PA_h_f0_b1!D13</f>
        <v>-0.85602072995003098</v>
      </c>
      <c r="D29" s="233">
        <f>[22]Mode_PA_h_f0_b1!E13</f>
        <v>0.83890562248414102</v>
      </c>
      <c r="E29" s="234">
        <f>[22]Mode_PA_h_f0_b1!F13</f>
        <v>0.432</v>
      </c>
      <c r="F29" s="234">
        <f>[22]Mode_PA_h_f0_b1!G13</f>
        <v>-0.02</v>
      </c>
      <c r="G29" s="234">
        <f>[22]Mode_PA_h_f0_b1!H13</f>
        <v>610.48</v>
      </c>
      <c r="H29" s="235">
        <f>[22]Mode_PA_h_f0_b1!I13</f>
        <v>0.98399999999999999</v>
      </c>
      <c r="I29" s="235">
        <f>[22]Mode_PA_h_f0_b1!J13</f>
        <v>0.98399999999999999</v>
      </c>
      <c r="J29" s="232">
        <f>[22]Mode_PA_h_f0_b1!K13</f>
        <v>0</v>
      </c>
      <c r="K29" s="181">
        <f t="shared" ref="K29:K31" si="10">B29-C29</f>
        <v>0.84702072995003097</v>
      </c>
      <c r="L29" s="79"/>
      <c r="Q29" s="80"/>
      <c r="R29" s="80"/>
      <c r="T29" s="79"/>
      <c r="U29" s="79"/>
      <c r="Z29" s="80"/>
      <c r="AA29" s="80"/>
      <c r="AC29" s="79"/>
      <c r="AD29" s="79"/>
      <c r="AI29" s="80"/>
      <c r="AJ29" s="80"/>
      <c r="AL29" s="79"/>
      <c r="AM29" s="79"/>
      <c r="AR29" s="80"/>
      <c r="AS29" s="80"/>
      <c r="AU29" s="79"/>
      <c r="AV29" s="79"/>
      <c r="BA29" s="80"/>
      <c r="BB29" s="80"/>
      <c r="BD29" s="79"/>
      <c r="BE29" s="79"/>
    </row>
    <row r="30" spans="1:57" ht="15.75" customHeight="1" thickBot="1" x14ac:dyDescent="0.25">
      <c r="A30" s="237" t="s">
        <v>4</v>
      </c>
      <c r="B30" s="236">
        <f>[23]Mode_PA_l_t_b1!C13</f>
        <v>2.044</v>
      </c>
      <c r="C30" s="236">
        <f>[23]Mode_PA_l_t_b1!D13</f>
        <v>-6.4797959443461899</v>
      </c>
      <c r="D30" s="236">
        <f>[23]Mode_PA_l_t_b1!E13</f>
        <v>10.5679236230505</v>
      </c>
      <c r="E30" s="230">
        <f>[23]Mode_PA_l_t_b1!F13</f>
        <v>4.34</v>
      </c>
      <c r="F30" s="230">
        <f>[23]Mode_PA_l_t_b1!G13</f>
        <v>0.47099999999999997</v>
      </c>
      <c r="G30" s="230">
        <f>[23]Mode_PA_l_t_b1!H13</f>
        <v>609.01</v>
      </c>
      <c r="H30" s="235">
        <f>[23]Mode_PA_l_t_b1!I13</f>
        <v>0.63800000000000001</v>
      </c>
      <c r="I30" s="235">
        <f>[23]Mode_PA_l_t_b1!J13</f>
        <v>0.72799999999999998</v>
      </c>
      <c r="J30" s="232">
        <f>[23]Mode_PA_l_t_b1!K13</f>
        <v>0</v>
      </c>
      <c r="K30" s="181">
        <f t="shared" si="10"/>
        <v>8.5237959443461904</v>
      </c>
      <c r="L30" s="79"/>
      <c r="Q30" s="80"/>
      <c r="R30" s="80"/>
      <c r="T30" s="79"/>
      <c r="U30" s="79"/>
      <c r="Z30" s="80"/>
      <c r="AA30" s="80"/>
      <c r="AC30" s="79"/>
      <c r="AD30" s="79"/>
      <c r="AI30" s="80"/>
      <c r="AJ30" s="80"/>
      <c r="AL30" s="79"/>
      <c r="AM30" s="79"/>
      <c r="AR30" s="80"/>
      <c r="AS30" s="80"/>
      <c r="AU30" s="79"/>
      <c r="AV30" s="79"/>
      <c r="BA30" s="80"/>
      <c r="BB30" s="80"/>
      <c r="BD30" s="79"/>
      <c r="BE30" s="79"/>
    </row>
    <row r="31" spans="1:57" ht="15.75" customHeight="1" x14ac:dyDescent="0.2">
      <c r="A31" s="244" t="s">
        <v>3</v>
      </c>
      <c r="B31" s="237">
        <f>[24]Mode_PA_h_t_b1!C13</f>
        <v>0.255</v>
      </c>
      <c r="C31" s="237">
        <f>[24]Mode_PA_h_t_b1!D13</f>
        <v>-12.4304474503218</v>
      </c>
      <c r="D31" s="237">
        <f>[24]Mode_PA_h_t_b1!E13</f>
        <v>12.940454542958699</v>
      </c>
      <c r="E31" s="239">
        <f>[24]Mode_PA_h_t_b1!F13</f>
        <v>6.4589999999999996</v>
      </c>
      <c r="F31" s="239">
        <f>[24]Mode_PA_h_t_b1!G13</f>
        <v>3.9E-2</v>
      </c>
      <c r="G31" s="239">
        <f>[24]Mode_PA_h_t_b1!H13</f>
        <v>609.22</v>
      </c>
      <c r="H31" s="243">
        <f>[24]Mode_PA_h_t_b1!I13</f>
        <v>0.96899999999999997</v>
      </c>
      <c r="I31" s="243">
        <f>[24]Mode_PA_h_t_b1!J13</f>
        <v>0.98399999999999999</v>
      </c>
      <c r="J31" s="241">
        <f>[24]Mode_PA_h_t_b1!K13</f>
        <v>0</v>
      </c>
      <c r="K31" s="181">
        <f t="shared" si="10"/>
        <v>12.685447450321801</v>
      </c>
      <c r="L31" s="79"/>
      <c r="Q31" s="80"/>
      <c r="R31" s="80"/>
      <c r="T31" s="79"/>
      <c r="U31" s="79"/>
      <c r="Z31" s="80"/>
      <c r="AA31" s="80"/>
      <c r="AC31" s="79"/>
      <c r="AD31" s="79"/>
      <c r="AI31" s="80"/>
      <c r="AJ31" s="80"/>
      <c r="AL31" s="79"/>
      <c r="AM31" s="79"/>
      <c r="AR31" s="80"/>
      <c r="AS31" s="80"/>
      <c r="AU31" s="79"/>
      <c r="AV31" s="79"/>
      <c r="BA31" s="80"/>
      <c r="BB31" s="80"/>
      <c r="BD31" s="79"/>
      <c r="BE31" s="79"/>
    </row>
  </sheetData>
  <mergeCells count="1">
    <mergeCell ref="A1:J1"/>
  </mergeCells>
  <conditionalFormatting sqref="H3:I6 H13:I16 H8:I11 H28:I31 H23:I26 H18:I21">
    <cfRule type="cellIs" dxfId="104" priority="132" stopIfTrue="1" operator="lessThan">
      <formula>0.0001</formula>
    </cfRule>
    <cfRule type="cellIs" dxfId="103" priority="133" stopIfTrue="1" operator="lessThan">
      <formula>0.001</formula>
    </cfRule>
    <cfRule type="cellIs" dxfId="102" priority="134" stopIfTrue="1" operator="lessThan">
      <formula>0.05</formula>
    </cfRule>
    <cfRule type="cellIs" dxfId="101" priority="135" stopIfTrue="1" operator="lessThan">
      <formula>0.1</formula>
    </cfRule>
  </conditionalFormatting>
  <conditionalFormatting sqref="J3:J6 J13:J16 J8:J11 J28:J31 J23:J26 J18:J21">
    <cfRule type="containsText" dxfId="100" priority="127" stopIfTrue="1" operator="containsText" text="p&lt;0.0001">
      <formula>NOT(ISERROR(SEARCH("p&lt;0.0001",J3)))</formula>
    </cfRule>
    <cfRule type="containsText" dxfId="99" priority="128" stopIfTrue="1" operator="containsText" text="p&lt;0.001">
      <formula>NOT(ISERROR(SEARCH("p&lt;0.001",J3)))</formula>
    </cfRule>
    <cfRule type="containsText" dxfId="98" priority="129" stopIfTrue="1" operator="containsText" text="p&lt;0.01">
      <formula>NOT(ISERROR(SEARCH("p&lt;0.01",J3)))</formula>
    </cfRule>
    <cfRule type="containsText" dxfId="97" priority="130" stopIfTrue="1" operator="containsText" text="p&lt;0.05">
      <formula>NOT(ISERROR(SEARCH("p&lt;0.05",J3)))</formula>
    </cfRule>
    <cfRule type="containsText" dxfId="96" priority="131" stopIfTrue="1" operator="containsText" text="p&lt;0.1">
      <formula>NOT(ISERROR(SEARCH("p&lt;0.1",J3)))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F5:AA33"/>
  <sheetViews>
    <sheetView showGridLines="0" topLeftCell="A4" zoomScaleNormal="100" workbookViewId="0">
      <selection activeCell="N29" sqref="N29"/>
    </sheetView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mode B0</vt:lpstr>
      <vt:lpstr>mode B1</vt:lpstr>
      <vt:lpstr>G mode</vt:lpstr>
      <vt:lpstr>mode RTH B0</vt:lpstr>
      <vt:lpstr>mode RTH B1</vt:lpstr>
      <vt:lpstr>G mode RTH</vt:lpstr>
      <vt:lpstr>PA B0</vt:lpstr>
      <vt:lpstr>PA B1</vt:lpstr>
      <vt:lpstr>G PA</vt:lpstr>
      <vt:lpstr>comparisons</vt:lpstr>
      <vt:lpstr>Utt B0</vt:lpstr>
      <vt:lpstr>Utt full B0</vt:lpstr>
      <vt:lpstr>Utt B1</vt:lpstr>
      <vt:lpstr>Utt full B1</vt:lpstr>
      <vt:lpstr>G Utt</vt:lpstr>
      <vt:lpstr>legends</vt:lpstr>
      <vt:lpstr>'mode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2022-08-04T16:54:20Z</dcterms:modified>
</cp:coreProperties>
</file>