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4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6_Form\"/>
    </mc:Choice>
  </mc:AlternateContent>
  <xr:revisionPtr revIDLastSave="0" documentId="13_ncr:1_{C63BCB95-118F-49B3-A477-8C174711C59A}" xr6:coauthVersionLast="47" xr6:coauthVersionMax="47" xr10:uidLastSave="{00000000-0000-0000-0000-000000000000}"/>
  <bookViews>
    <workbookView xWindow="-108" yWindow="-108" windowWidth="23256" windowHeight="13176" activeTab="3" xr2:uid="{1ABE4724-14B1-4801-819D-892587CA02C5}"/>
  </bookViews>
  <sheets>
    <sheet name="nuc foot" sheetId="1" r:id="rId1"/>
    <sheet name="nuc pre" sheetId="2" r:id="rId2"/>
    <sheet name="nuc slope exc" sheetId="8" r:id="rId3"/>
    <sheet name="pn foot" sheetId="5" r:id="rId4"/>
    <sheet name="pn ana" sheetId="7" r:id="rId5"/>
    <sheet name="pn slope exc" sheetId="9" r:id="rId6"/>
    <sheet name="PN Word Boundaries" sheetId="1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5" l="1"/>
  <c r="A5" i="5"/>
  <c r="A4" i="5"/>
  <c r="A3" i="5"/>
  <c r="F3" i="7"/>
  <c r="F24" i="7"/>
  <c r="F22" i="7"/>
  <c r="F19" i="7"/>
  <c r="F18" i="7"/>
  <c r="F17" i="7"/>
  <c r="F16" i="7"/>
  <c r="F12" i="7"/>
  <c r="F11" i="7"/>
  <c r="F10" i="7"/>
  <c r="F9" i="7"/>
  <c r="F6" i="7"/>
  <c r="F5" i="7"/>
  <c r="F4" i="7"/>
  <c r="F23" i="7"/>
  <c r="F25" i="7"/>
  <c r="E11" i="9"/>
  <c r="D11" i="9"/>
  <c r="C11" i="9"/>
  <c r="B11" i="9"/>
  <c r="A11" i="9"/>
  <c r="E10" i="9"/>
  <c r="D10" i="9"/>
  <c r="C10" i="9"/>
  <c r="B10" i="9"/>
  <c r="A10" i="9"/>
  <c r="E9" i="9"/>
  <c r="D9" i="9"/>
  <c r="C9" i="9"/>
  <c r="B9" i="9"/>
  <c r="A9" i="9"/>
  <c r="A25" i="9" s="1"/>
  <c r="E8" i="9"/>
  <c r="D8" i="9"/>
  <c r="C8" i="9"/>
  <c r="B8" i="9"/>
  <c r="A8" i="9"/>
  <c r="E5" i="9"/>
  <c r="D5" i="9"/>
  <c r="C5" i="9"/>
  <c r="B5" i="9"/>
  <c r="A5" i="9"/>
  <c r="E4" i="9"/>
  <c r="D4" i="9"/>
  <c r="C4" i="9"/>
  <c r="B4" i="9"/>
  <c r="A4" i="9"/>
  <c r="E3" i="9"/>
  <c r="D3" i="9"/>
  <c r="C3" i="9"/>
  <c r="B3" i="9"/>
  <c r="A3" i="9"/>
  <c r="E2" i="9"/>
  <c r="D2" i="9"/>
  <c r="C2" i="9"/>
  <c r="B2" i="9"/>
  <c r="A2" i="9"/>
  <c r="E1" i="9"/>
  <c r="D1" i="9"/>
  <c r="C1" i="9"/>
  <c r="B1" i="9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2" i="7"/>
  <c r="D12" i="7"/>
  <c r="C12" i="7"/>
  <c r="B12" i="7"/>
  <c r="A12" i="7"/>
  <c r="E11" i="7"/>
  <c r="D11" i="7"/>
  <c r="C11" i="7"/>
  <c r="B11" i="7"/>
  <c r="A11" i="7"/>
  <c r="E10" i="7"/>
  <c r="D10" i="7"/>
  <c r="C10" i="7"/>
  <c r="B10" i="7"/>
  <c r="A10" i="7"/>
  <c r="E9" i="7"/>
  <c r="D9" i="7"/>
  <c r="C9" i="7"/>
  <c r="B9" i="7"/>
  <c r="A9" i="7"/>
  <c r="E6" i="7"/>
  <c r="D6" i="7"/>
  <c r="C6" i="7"/>
  <c r="B6" i="7"/>
  <c r="A6" i="7"/>
  <c r="E5" i="7"/>
  <c r="D5" i="7"/>
  <c r="C5" i="7"/>
  <c r="B5" i="7"/>
  <c r="A5" i="7"/>
  <c r="E4" i="7"/>
  <c r="D4" i="7"/>
  <c r="C4" i="7"/>
  <c r="B4" i="7"/>
  <c r="A4" i="7"/>
  <c r="E3" i="7"/>
  <c r="D3" i="7"/>
  <c r="C3" i="7"/>
  <c r="B3" i="7"/>
  <c r="A3" i="7"/>
  <c r="B3" i="5"/>
  <c r="B9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A9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E7" i="9"/>
  <c r="D7" i="9"/>
  <c r="C7" i="9"/>
  <c r="B7" i="9"/>
  <c r="B23" i="9" s="1"/>
  <c r="F1" i="9"/>
  <c r="B27" i="9"/>
  <c r="A27" i="9"/>
  <c r="C19" i="9"/>
  <c r="D19" i="9" s="1"/>
  <c r="A26" i="9"/>
  <c r="F8" i="9"/>
  <c r="A24" i="9"/>
  <c r="F3" i="9"/>
  <c r="F2" i="9"/>
  <c r="A23" i="9"/>
  <c r="D20" i="9"/>
  <c r="D18" i="9"/>
  <c r="B17" i="9"/>
  <c r="B19" i="9" s="1"/>
  <c r="B21" i="9" s="1"/>
  <c r="D16" i="9"/>
  <c r="D14" i="9"/>
  <c r="D20" i="8"/>
  <c r="D18" i="8"/>
  <c r="D16" i="8"/>
  <c r="E11" i="8"/>
  <c r="D11" i="8"/>
  <c r="C11" i="8"/>
  <c r="B11" i="8"/>
  <c r="B27" i="8" s="1"/>
  <c r="E10" i="8"/>
  <c r="D10" i="8"/>
  <c r="C10" i="8"/>
  <c r="B10" i="8"/>
  <c r="B26" i="8" s="1"/>
  <c r="E9" i="8"/>
  <c r="D9" i="8"/>
  <c r="C9" i="8"/>
  <c r="B9" i="8"/>
  <c r="B25" i="8" s="1"/>
  <c r="E8" i="8"/>
  <c r="D8" i="8"/>
  <c r="C8" i="8"/>
  <c r="B8" i="8"/>
  <c r="B24" i="8" s="1"/>
  <c r="D14" i="8"/>
  <c r="A23" i="8"/>
  <c r="B2" i="8"/>
  <c r="A11" i="8"/>
  <c r="A21" i="8" s="1"/>
  <c r="A20" i="8" s="1"/>
  <c r="A10" i="8"/>
  <c r="A19" i="8" s="1"/>
  <c r="A18" i="8" s="1"/>
  <c r="A9" i="8"/>
  <c r="A17" i="8" s="1"/>
  <c r="A16" i="8" s="1"/>
  <c r="A8" i="8"/>
  <c r="A24" i="8" s="1"/>
  <c r="E5" i="8"/>
  <c r="D5" i="8"/>
  <c r="C5" i="8"/>
  <c r="B5" i="8"/>
  <c r="A5" i="8"/>
  <c r="E4" i="8"/>
  <c r="D4" i="8"/>
  <c r="C4" i="8"/>
  <c r="B4" i="8"/>
  <c r="A4" i="8"/>
  <c r="E3" i="8"/>
  <c r="D3" i="8"/>
  <c r="C3" i="8"/>
  <c r="B3" i="8"/>
  <c r="A3" i="8"/>
  <c r="E2" i="8"/>
  <c r="D2" i="8"/>
  <c r="C2" i="8"/>
  <c r="A2" i="8"/>
  <c r="G38" i="2"/>
  <c r="E38" i="2"/>
  <c r="D38" i="2"/>
  <c r="C38" i="2"/>
  <c r="B38" i="2"/>
  <c r="A38" i="2"/>
  <c r="G37" i="2"/>
  <c r="E37" i="2"/>
  <c r="D37" i="2"/>
  <c r="C37" i="2"/>
  <c r="B37" i="2"/>
  <c r="A37" i="2"/>
  <c r="G36" i="2"/>
  <c r="E36" i="2"/>
  <c r="D36" i="2"/>
  <c r="C36" i="2"/>
  <c r="B36" i="2"/>
  <c r="A36" i="2"/>
  <c r="G35" i="2"/>
  <c r="E35" i="2"/>
  <c r="D35" i="2"/>
  <c r="C35" i="2"/>
  <c r="B35" i="2"/>
  <c r="A35" i="2"/>
  <c r="G32" i="2"/>
  <c r="E32" i="2"/>
  <c r="D32" i="2"/>
  <c r="C32" i="2"/>
  <c r="B32" i="2"/>
  <c r="A32" i="2"/>
  <c r="G31" i="2"/>
  <c r="E31" i="2"/>
  <c r="D31" i="2"/>
  <c r="C31" i="2"/>
  <c r="B31" i="2"/>
  <c r="A31" i="2"/>
  <c r="G30" i="2"/>
  <c r="E30" i="2"/>
  <c r="D30" i="2"/>
  <c r="C30" i="2"/>
  <c r="B30" i="2"/>
  <c r="A30" i="2"/>
  <c r="G29" i="2"/>
  <c r="E29" i="2"/>
  <c r="D29" i="2"/>
  <c r="C29" i="2"/>
  <c r="B29" i="2"/>
  <c r="A29" i="2"/>
  <c r="G25" i="2"/>
  <c r="E25" i="2"/>
  <c r="D25" i="2"/>
  <c r="C25" i="2"/>
  <c r="B25" i="2"/>
  <c r="A25" i="2"/>
  <c r="G24" i="2"/>
  <c r="E24" i="2"/>
  <c r="D24" i="2"/>
  <c r="C24" i="2"/>
  <c r="B24" i="2"/>
  <c r="A24" i="2"/>
  <c r="G23" i="2"/>
  <c r="E23" i="2"/>
  <c r="D23" i="2"/>
  <c r="C23" i="2"/>
  <c r="B23" i="2"/>
  <c r="A23" i="2"/>
  <c r="G22" i="2"/>
  <c r="E22" i="2"/>
  <c r="D22" i="2"/>
  <c r="C22" i="2"/>
  <c r="B22" i="2"/>
  <c r="A22" i="2"/>
  <c r="G19" i="2"/>
  <c r="E19" i="2"/>
  <c r="D19" i="2"/>
  <c r="C19" i="2"/>
  <c r="B19" i="2"/>
  <c r="A19" i="2"/>
  <c r="G18" i="2"/>
  <c r="E18" i="2"/>
  <c r="D18" i="2"/>
  <c r="C18" i="2"/>
  <c r="B18" i="2"/>
  <c r="A18" i="2"/>
  <c r="G17" i="2"/>
  <c r="E17" i="2"/>
  <c r="D17" i="2"/>
  <c r="C17" i="2"/>
  <c r="B17" i="2"/>
  <c r="A17" i="2"/>
  <c r="G16" i="2"/>
  <c r="E16" i="2"/>
  <c r="D16" i="2"/>
  <c r="C16" i="2"/>
  <c r="B16" i="2"/>
  <c r="A16" i="2"/>
  <c r="G12" i="2"/>
  <c r="E12" i="2"/>
  <c r="D12" i="2"/>
  <c r="C12" i="2"/>
  <c r="B12" i="2"/>
  <c r="A12" i="2"/>
  <c r="G11" i="2"/>
  <c r="E11" i="2"/>
  <c r="D11" i="2"/>
  <c r="C11" i="2"/>
  <c r="B11" i="2"/>
  <c r="A11" i="2"/>
  <c r="G10" i="2"/>
  <c r="E10" i="2"/>
  <c r="D10" i="2"/>
  <c r="C10" i="2"/>
  <c r="B10" i="2"/>
  <c r="A10" i="2"/>
  <c r="G9" i="2"/>
  <c r="E9" i="2"/>
  <c r="D9" i="2"/>
  <c r="C9" i="2"/>
  <c r="B9" i="2"/>
  <c r="A9" i="2"/>
  <c r="G6" i="2"/>
  <c r="E6" i="2"/>
  <c r="D6" i="2"/>
  <c r="C6" i="2"/>
  <c r="B6" i="2"/>
  <c r="A6" i="2"/>
  <c r="G5" i="2"/>
  <c r="E5" i="2"/>
  <c r="D5" i="2"/>
  <c r="C5" i="2"/>
  <c r="B5" i="2"/>
  <c r="A5" i="2"/>
  <c r="G4" i="2"/>
  <c r="E4" i="2"/>
  <c r="D4" i="2"/>
  <c r="C4" i="2"/>
  <c r="B4" i="2"/>
  <c r="A4" i="2"/>
  <c r="G3" i="2"/>
  <c r="E3" i="2"/>
  <c r="D3" i="2"/>
  <c r="C3" i="2"/>
  <c r="B3" i="2"/>
  <c r="A3" i="2"/>
  <c r="G38" i="1"/>
  <c r="E38" i="1"/>
  <c r="D38" i="1"/>
  <c r="C38" i="1"/>
  <c r="B38" i="1"/>
  <c r="A38" i="1"/>
  <c r="G37" i="1"/>
  <c r="E37" i="1"/>
  <c r="D37" i="1"/>
  <c r="C37" i="1"/>
  <c r="B37" i="1"/>
  <c r="A37" i="1"/>
  <c r="G36" i="1"/>
  <c r="E36" i="1"/>
  <c r="D36" i="1"/>
  <c r="C36" i="1"/>
  <c r="B36" i="1"/>
  <c r="A36" i="1"/>
  <c r="G35" i="1"/>
  <c r="E35" i="1"/>
  <c r="D35" i="1"/>
  <c r="C35" i="1"/>
  <c r="B35" i="1"/>
  <c r="A35" i="1"/>
  <c r="G32" i="1"/>
  <c r="E32" i="1"/>
  <c r="D32" i="1"/>
  <c r="C32" i="1"/>
  <c r="B32" i="1"/>
  <c r="A32" i="1"/>
  <c r="G31" i="1"/>
  <c r="E31" i="1"/>
  <c r="D31" i="1"/>
  <c r="C31" i="1"/>
  <c r="B31" i="1"/>
  <c r="A31" i="1"/>
  <c r="G30" i="1"/>
  <c r="E30" i="1"/>
  <c r="D30" i="1"/>
  <c r="C30" i="1"/>
  <c r="B30" i="1"/>
  <c r="A30" i="1"/>
  <c r="G29" i="1"/>
  <c r="E29" i="1"/>
  <c r="D29" i="1"/>
  <c r="C29" i="1"/>
  <c r="B29" i="1"/>
  <c r="A29" i="1"/>
  <c r="G25" i="1"/>
  <c r="E25" i="1"/>
  <c r="D25" i="1"/>
  <c r="C25" i="1"/>
  <c r="B25" i="1"/>
  <c r="A25" i="1"/>
  <c r="G24" i="1"/>
  <c r="E24" i="1"/>
  <c r="D24" i="1"/>
  <c r="C24" i="1"/>
  <c r="B24" i="1"/>
  <c r="A24" i="1"/>
  <c r="G23" i="1"/>
  <c r="E23" i="1"/>
  <c r="D23" i="1"/>
  <c r="C23" i="1"/>
  <c r="B23" i="1"/>
  <c r="A23" i="1"/>
  <c r="G22" i="1"/>
  <c r="E22" i="1"/>
  <c r="D22" i="1"/>
  <c r="C22" i="1"/>
  <c r="B22" i="1"/>
  <c r="A22" i="1"/>
  <c r="G19" i="1"/>
  <c r="E19" i="1"/>
  <c r="D19" i="1"/>
  <c r="C19" i="1"/>
  <c r="B19" i="1"/>
  <c r="A19" i="1"/>
  <c r="G18" i="1"/>
  <c r="E18" i="1"/>
  <c r="D18" i="1"/>
  <c r="C18" i="1"/>
  <c r="B18" i="1"/>
  <c r="A18" i="1"/>
  <c r="G17" i="1"/>
  <c r="E17" i="1"/>
  <c r="D17" i="1"/>
  <c r="C17" i="1"/>
  <c r="B17" i="1"/>
  <c r="A17" i="1"/>
  <c r="G16" i="1"/>
  <c r="E16" i="1"/>
  <c r="D16" i="1"/>
  <c r="C16" i="1"/>
  <c r="B16" i="1"/>
  <c r="A16" i="1"/>
  <c r="G12" i="1"/>
  <c r="E12" i="1"/>
  <c r="D12" i="1"/>
  <c r="C12" i="1"/>
  <c r="B12" i="1"/>
  <c r="A12" i="1"/>
  <c r="G11" i="1"/>
  <c r="E11" i="1"/>
  <c r="D11" i="1"/>
  <c r="C11" i="1"/>
  <c r="B11" i="1"/>
  <c r="A11" i="1"/>
  <c r="G10" i="1"/>
  <c r="E10" i="1"/>
  <c r="D10" i="1"/>
  <c r="C10" i="1"/>
  <c r="B10" i="1"/>
  <c r="A10" i="1"/>
  <c r="G9" i="1"/>
  <c r="E9" i="1"/>
  <c r="D9" i="1"/>
  <c r="C9" i="1"/>
  <c r="B9" i="1"/>
  <c r="A9" i="1"/>
  <c r="G6" i="1"/>
  <c r="E6" i="1"/>
  <c r="D6" i="1"/>
  <c r="C6" i="1"/>
  <c r="B6" i="1"/>
  <c r="A6" i="1"/>
  <c r="G5" i="1"/>
  <c r="E5" i="1"/>
  <c r="D5" i="1"/>
  <c r="C5" i="1"/>
  <c r="B5" i="1"/>
  <c r="A5" i="1"/>
  <c r="G4" i="1"/>
  <c r="E4" i="1"/>
  <c r="D4" i="1"/>
  <c r="C4" i="1"/>
  <c r="B4" i="1"/>
  <c r="A4" i="1"/>
  <c r="G3" i="1"/>
  <c r="E3" i="1"/>
  <c r="D3" i="1"/>
  <c r="C3" i="1"/>
  <c r="B3" i="1"/>
  <c r="A3" i="1"/>
  <c r="B17" i="8"/>
  <c r="B19" i="8" s="1"/>
  <c r="B21" i="8" s="1"/>
  <c r="F7" i="8"/>
  <c r="F1" i="8" s="1"/>
  <c r="E7" i="8"/>
  <c r="E1" i="8" s="1"/>
  <c r="D7" i="8"/>
  <c r="D1" i="8" s="1"/>
  <c r="C7" i="8"/>
  <c r="C1" i="8" s="1"/>
  <c r="B7" i="8"/>
  <c r="B1" i="8" s="1"/>
  <c r="F9" i="9" l="1"/>
  <c r="F5" i="9"/>
  <c r="F4" i="9"/>
  <c r="B25" i="9"/>
  <c r="A15" i="9"/>
  <c r="A14" i="9" s="1"/>
  <c r="C15" i="9"/>
  <c r="D15" i="9" s="1"/>
  <c r="A21" i="9"/>
  <c r="A20" i="9" s="1"/>
  <c r="C21" i="9"/>
  <c r="D21" i="9" s="1"/>
  <c r="A17" i="9"/>
  <c r="A16" i="9" s="1"/>
  <c r="F10" i="9"/>
  <c r="C17" i="9"/>
  <c r="D17" i="9" s="1"/>
  <c r="B24" i="9"/>
  <c r="A19" i="9"/>
  <c r="A18" i="9" s="1"/>
  <c r="B26" i="9"/>
  <c r="F11" i="9"/>
  <c r="C21" i="8"/>
  <c r="D21" i="8" s="1"/>
  <c r="C19" i="8"/>
  <c r="D19" i="8" s="1"/>
  <c r="C17" i="8"/>
  <c r="D17" i="8" s="1"/>
  <c r="B23" i="8"/>
  <c r="A25" i="8"/>
  <c r="A26" i="8"/>
  <c r="C15" i="8"/>
  <c r="D15" i="8" s="1"/>
  <c r="A15" i="8"/>
  <c r="A14" i="8" s="1"/>
  <c r="A27" i="8"/>
  <c r="F2" i="8"/>
  <c r="F8" i="8"/>
  <c r="F5" i="8"/>
  <c r="F3" i="8"/>
  <c r="F11" i="8"/>
  <c r="F9" i="8"/>
  <c r="F10" i="8"/>
  <c r="F4" i="8"/>
  <c r="H38" i="2" l="1"/>
  <c r="H37" i="2"/>
  <c r="H36" i="2"/>
  <c r="H35" i="2"/>
  <c r="H29" i="2"/>
  <c r="H32" i="2"/>
  <c r="H31" i="2"/>
  <c r="H30" i="2"/>
  <c r="H22" i="2"/>
  <c r="H25" i="2"/>
  <c r="H24" i="2"/>
  <c r="H23" i="2"/>
  <c r="H16" i="2"/>
  <c r="H19" i="2"/>
  <c r="H18" i="2"/>
  <c r="H17" i="2"/>
  <c r="H9" i="2"/>
  <c r="H12" i="2"/>
  <c r="H11" i="2"/>
  <c r="H10" i="2"/>
  <c r="H3" i="2"/>
  <c r="H6" i="2"/>
  <c r="H5" i="2"/>
  <c r="H4" i="2"/>
  <c r="H38" i="1"/>
  <c r="H37" i="1"/>
  <c r="H36" i="1"/>
  <c r="H35" i="1"/>
  <c r="H32" i="1"/>
  <c r="H31" i="1"/>
  <c r="H30" i="1"/>
  <c r="H29" i="1"/>
  <c r="H25" i="1"/>
  <c r="H24" i="1"/>
  <c r="H23" i="1"/>
  <c r="H22" i="1"/>
  <c r="H19" i="1"/>
  <c r="H18" i="1"/>
  <c r="H17" i="1"/>
  <c r="H16" i="1"/>
  <c r="H12" i="1"/>
  <c r="H11" i="1"/>
  <c r="H10" i="1"/>
  <c r="H9" i="1"/>
  <c r="H6" i="1"/>
  <c r="H5" i="1"/>
  <c r="H4" i="1"/>
  <c r="H3" i="1"/>
  <c r="F21" i="7"/>
  <c r="E21" i="7"/>
  <c r="D21" i="7"/>
  <c r="C21" i="7"/>
  <c r="B21" i="7"/>
  <c r="F15" i="7"/>
  <c r="E15" i="7"/>
  <c r="D15" i="7"/>
  <c r="C15" i="7"/>
  <c r="B15" i="7"/>
  <c r="F8" i="7"/>
  <c r="E8" i="7"/>
  <c r="D8" i="7"/>
  <c r="C8" i="7"/>
  <c r="B8" i="7"/>
  <c r="F21" i="5"/>
  <c r="E21" i="5"/>
  <c r="D21" i="5"/>
  <c r="C21" i="5"/>
  <c r="B21" i="5"/>
  <c r="F15" i="5"/>
  <c r="E15" i="5"/>
  <c r="D15" i="5"/>
  <c r="C15" i="5"/>
  <c r="B15" i="5"/>
  <c r="F8" i="5"/>
  <c r="E8" i="5"/>
  <c r="D8" i="5"/>
  <c r="C8" i="5"/>
  <c r="B8" i="5"/>
  <c r="B15" i="2"/>
  <c r="H34" i="2"/>
  <c r="F34" i="2"/>
  <c r="E34" i="2"/>
  <c r="D34" i="2"/>
  <c r="C34" i="2"/>
  <c r="B34" i="2"/>
  <c r="I34" i="2" s="1"/>
  <c r="H28" i="2"/>
  <c r="F28" i="2"/>
  <c r="E28" i="2"/>
  <c r="D28" i="2"/>
  <c r="C28" i="2"/>
  <c r="B28" i="2"/>
  <c r="I28" i="2" s="1"/>
  <c r="I21" i="2"/>
  <c r="H21" i="2"/>
  <c r="F21" i="2"/>
  <c r="E21" i="2"/>
  <c r="D21" i="2"/>
  <c r="C21" i="2"/>
  <c r="B21" i="2"/>
  <c r="I15" i="2"/>
  <c r="H15" i="2"/>
  <c r="F15" i="2"/>
  <c r="E15" i="2"/>
  <c r="D15" i="2"/>
  <c r="C15" i="2"/>
  <c r="H8" i="2"/>
  <c r="F8" i="2"/>
  <c r="E8" i="2"/>
  <c r="D8" i="2"/>
  <c r="C8" i="2"/>
  <c r="B8" i="2"/>
  <c r="I8" i="2" s="1"/>
  <c r="I2" i="2"/>
  <c r="H2" i="2"/>
  <c r="H34" i="1"/>
  <c r="H28" i="1"/>
  <c r="H21" i="1"/>
  <c r="H15" i="1"/>
  <c r="H8" i="1"/>
  <c r="H2" i="1"/>
  <c r="I2" i="1"/>
  <c r="F34" i="1"/>
  <c r="F28" i="1"/>
  <c r="F21" i="1"/>
  <c r="F15" i="1"/>
  <c r="F8" i="1"/>
  <c r="E34" i="1"/>
  <c r="D34" i="1"/>
  <c r="C34" i="1"/>
  <c r="E28" i="1"/>
  <c r="D28" i="1"/>
  <c r="C28" i="1"/>
  <c r="E21" i="1"/>
  <c r="D21" i="1"/>
  <c r="C21" i="1"/>
  <c r="E15" i="1"/>
  <c r="D15" i="1"/>
  <c r="C15" i="1"/>
  <c r="E8" i="1"/>
  <c r="D8" i="1"/>
  <c r="C8" i="1"/>
  <c r="B34" i="1"/>
  <c r="I34" i="1" s="1"/>
  <c r="B28" i="1"/>
  <c r="I28" i="1" s="1"/>
  <c r="B21" i="1"/>
  <c r="I21" i="1" s="1"/>
  <c r="B15" i="1"/>
  <c r="I15" i="1" s="1"/>
  <c r="B8" i="1"/>
  <c r="I8" i="1" s="1"/>
  <c r="I24" i="2" l="1"/>
  <c r="F29" i="2"/>
  <c r="I37" i="2"/>
  <c r="I19" i="1"/>
  <c r="F5" i="2"/>
  <c r="I3" i="2"/>
  <c r="I31" i="2"/>
  <c r="I29" i="2"/>
  <c r="I32" i="2"/>
  <c r="F32" i="2"/>
  <c r="F17" i="2"/>
  <c r="I9" i="2"/>
  <c r="F12" i="2"/>
  <c r="I36" i="2"/>
  <c r="F38" i="2"/>
  <c r="I22" i="2"/>
  <c r="F9" i="2"/>
  <c r="F11" i="5"/>
  <c r="F4" i="5"/>
  <c r="F25" i="5"/>
  <c r="F23" i="5"/>
  <c r="F22" i="5"/>
  <c r="F10" i="5"/>
  <c r="F16" i="2"/>
  <c r="F17" i="5"/>
  <c r="F19" i="5"/>
  <c r="F16" i="5"/>
  <c r="F18" i="5"/>
  <c r="F5" i="5"/>
  <c r="F3" i="5"/>
  <c r="F6" i="5"/>
  <c r="F24" i="5"/>
  <c r="F9" i="5"/>
  <c r="F12" i="5"/>
  <c r="I35" i="2"/>
  <c r="F35" i="2"/>
  <c r="F35" i="1"/>
  <c r="I30" i="2"/>
  <c r="F36" i="2"/>
  <c r="I29" i="1"/>
  <c r="I38" i="2"/>
  <c r="F31" i="2"/>
  <c r="I23" i="2"/>
  <c r="I25" i="2"/>
  <c r="F23" i="2"/>
  <c r="F24" i="2"/>
  <c r="I19" i="2"/>
  <c r="F18" i="2"/>
  <c r="I10" i="2"/>
  <c r="I17" i="2"/>
  <c r="I18" i="2"/>
  <c r="I11" i="2"/>
  <c r="F10" i="2"/>
  <c r="I4" i="2"/>
  <c r="I6" i="2"/>
  <c r="I12" i="2"/>
  <c r="I5" i="2"/>
  <c r="F3" i="2"/>
  <c r="F6" i="2"/>
  <c r="F11" i="2"/>
  <c r="F37" i="2"/>
  <c r="F19" i="2"/>
  <c r="F4" i="2"/>
  <c r="F30" i="2"/>
  <c r="I16" i="2"/>
  <c r="F22" i="2"/>
  <c r="F25" i="2"/>
  <c r="I38" i="1"/>
  <c r="F5" i="1"/>
  <c r="F24" i="1"/>
  <c r="I18" i="1"/>
  <c r="I31" i="1"/>
  <c r="F9" i="1"/>
  <c r="F18" i="1"/>
  <c r="F11" i="1"/>
  <c r="I16" i="1"/>
  <c r="F17" i="1"/>
  <c r="F25" i="1"/>
  <c r="F36" i="1"/>
  <c r="I4" i="1"/>
  <c r="I3" i="1"/>
  <c r="I6" i="1"/>
  <c r="I10" i="1"/>
  <c r="I23" i="1"/>
  <c r="I22" i="1"/>
  <c r="I35" i="1"/>
  <c r="I30" i="1"/>
  <c r="F12" i="1"/>
  <c r="F32" i="1"/>
  <c r="I24" i="1"/>
  <c r="I37" i="1"/>
  <c r="F19" i="1"/>
  <c r="I12" i="1"/>
  <c r="F31" i="1"/>
  <c r="I5" i="1"/>
  <c r="I25" i="1"/>
  <c r="I17" i="1"/>
  <c r="I32" i="1"/>
  <c r="I9" i="1"/>
  <c r="I36" i="1"/>
  <c r="I11" i="1"/>
  <c r="F4" i="1"/>
  <c r="F23" i="1"/>
  <c r="F37" i="1"/>
  <c r="F10" i="1"/>
  <c r="F30" i="1"/>
  <c r="F38" i="1"/>
  <c r="F3" i="1"/>
  <c r="F6" i="1"/>
  <c r="F29" i="1"/>
  <c r="F22" i="1"/>
  <c r="F16" i="1"/>
</calcChain>
</file>

<file path=xl/sharedStrings.xml><?xml version="1.0" encoding="utf-8"?>
<sst xmlns="http://schemas.openxmlformats.org/spreadsheetml/2006/main" count="101" uniqueCount="41">
  <si>
    <t>l_t</t>
  </si>
  <si>
    <t>l_f0</t>
  </si>
  <si>
    <t>h_t</t>
  </si>
  <si>
    <t>h_f0</t>
  </si>
  <si>
    <t>e_t</t>
  </si>
  <si>
    <t>e_f0</t>
  </si>
  <si>
    <t>predicted</t>
  </si>
  <si>
    <t>conf.low</t>
  </si>
  <si>
    <t>conf.high</t>
  </si>
  <si>
    <t>std.error</t>
  </si>
  <si>
    <t>CI diff</t>
  </si>
  <si>
    <t>L fin phon</t>
  </si>
  <si>
    <t>%</t>
  </si>
  <si>
    <t>L%</t>
  </si>
  <si>
    <t>AA</t>
  </si>
  <si>
    <t>H in L*H L%</t>
  </si>
  <si>
    <t>L in L*H %</t>
  </si>
  <si>
    <t>L in L*H L%</t>
  </si>
  <si>
    <t>H in L*H %</t>
  </si>
  <si>
    <t>f0_exc</t>
  </si>
  <si>
    <t>lh_slope</t>
  </si>
  <si>
    <t>x</t>
  </si>
  <si>
    <t>y</t>
  </si>
  <si>
    <t xml:space="preserve">   </t>
  </si>
  <si>
    <t>NB</t>
  </si>
  <si>
    <t>exp(log_lh_slope)</t>
  </si>
  <si>
    <t>Total</t>
  </si>
  <si>
    <t>Elaina’s a</t>
  </si>
  <si>
    <t>Elaine was a</t>
  </si>
  <si>
    <t>Valerie’s is</t>
  </si>
  <si>
    <t>Lally’s is in-</t>
  </si>
  <si>
    <t>Lally’s is</t>
  </si>
  <si>
    <t>Val’s is in-</t>
  </si>
  <si>
    <t>H*</t>
  </si>
  <si>
    <t>&gt;H*</t>
  </si>
  <si>
    <t>L*H</t>
  </si>
  <si>
    <t>(*)</t>
  </si>
  <si>
    <t>word-end syl.</t>
  </si>
  <si>
    <t>anacr.</t>
  </si>
  <si>
    <t>pairing</t>
  </si>
  <si>
    <t>pre-nuclear phrase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</si>
</sst>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\ &quot;ms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F4EC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3F9F8"/>
        <bgColor indexed="64"/>
      </patternFill>
    </fill>
    <fill>
      <patternFill patternType="solid">
        <fgColor rgb="FF6CC283"/>
        <bgColor indexed="64"/>
      </patternFill>
    </fill>
    <fill>
      <patternFill patternType="solid">
        <fgColor rgb="FFC8E7D3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94D2A6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6DC283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73C589"/>
        <bgColor indexed="64"/>
      </patternFill>
    </fill>
    <fill>
      <patternFill patternType="solid">
        <fgColor rgb="FF75C68B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D0CECE"/>
      </bottom>
      <diagonal/>
    </border>
    <border>
      <left/>
      <right/>
      <top/>
      <bottom style="thick">
        <color rgb="FFD0CECE"/>
      </bottom>
      <diagonal/>
    </border>
  </borders>
  <cellStyleXfs count="1">
    <xf numFmtId="0" fontId="0" fillId="0" borderId="0"/>
  </cellStyleXfs>
  <cellXfs count="4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5" fontId="1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0" fontId="8" fillId="5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right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5" borderId="5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8" fillId="17" borderId="5" xfId="0" applyFont="1" applyFill="1" applyBorder="1" applyAlignment="1">
      <alignment horizontal="center" vertical="center" wrapText="1"/>
    </xf>
    <xf numFmtId="0" fontId="8" fillId="18" borderId="5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right" vertical="center" wrapText="1"/>
    </xf>
    <xf numFmtId="0" fontId="8" fillId="6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FCFC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border outline="0">
        <bottom style="thick">
          <color rgb="FFD0CEC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C8D62"/>
      <color rgb="FFD95F02"/>
      <color rgb="FF1B9E77"/>
      <color rgb="FF47298A"/>
      <color rgb="FF7570B3"/>
      <color rgb="FFE7298A"/>
      <color rgb="FFFFCC66"/>
      <color rgb="FFF2F2F2"/>
      <color rgb="FF805DC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haredStrings" Target="sharedStrings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foot syls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foot'!$H$3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7-4AE2-9668-59E21D030DC9}"/>
            </c:ext>
          </c:extLst>
        </c:ser>
        <c:ser>
          <c:idx val="2"/>
          <c:order val="1"/>
          <c:tx>
            <c:strRef>
              <c:f>'nuc foot'!$H$4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99.463000000000008</c:v>
                </c:pt>
                <c:pt idx="1">
                  <c:v>269.24599999999998</c:v>
                </c:pt>
                <c:pt idx="2">
                  <c:v>334.61799999999999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83.253999999999991</c:v>
                </c:pt>
                <c:pt idx="1">
                  <c:v>87.233000000000004</c:v>
                </c:pt>
                <c:pt idx="2">
                  <c:v>82.282000000000011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7-4AE2-9668-59E21D030DC9}"/>
            </c:ext>
          </c:extLst>
        </c:ser>
        <c:ser>
          <c:idx val="3"/>
          <c:order val="2"/>
          <c:tx>
            <c:strRef>
              <c:f>'nuc foot'!$H$5</c:f>
              <c:strCache>
                <c:ptCount val="1"/>
                <c:pt idx="0">
                  <c:v>syls3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100.36</c:v>
                </c:pt>
                <c:pt idx="1">
                  <c:v>344.50299999999999</c:v>
                </c:pt>
                <c:pt idx="2">
                  <c:v>441.24599999999998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83.212999999999994</c:v>
                </c:pt>
                <c:pt idx="1">
                  <c:v>88.684000000000012</c:v>
                </c:pt>
                <c:pt idx="2">
                  <c:v>82.588000000000008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7-4AE2-9668-59E21D030DC9}"/>
            </c:ext>
          </c:extLst>
        </c:ser>
        <c:ser>
          <c:idx val="0"/>
          <c:order val="3"/>
          <c:tx>
            <c:strRef>
              <c:f>'nuc foot'!$H$6</c:f>
              <c:strCache>
                <c:ptCount val="1"/>
                <c:pt idx="0">
                  <c:v>syls4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98.028000000000006</c:v>
                </c:pt>
                <c:pt idx="1">
                  <c:v>465.83499999999998</c:v>
                </c:pt>
                <c:pt idx="2">
                  <c:v>572.68600000000004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83.620999999999995</c:v>
                </c:pt>
                <c:pt idx="1">
                  <c:v>88.418000000000006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7-4AE2-9668-59E21D03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foot</a:t>
            </a:r>
            <a:r>
              <a:rPr lang="en-US" sz="1000" b="0" baseline="0"/>
              <a:t> syls</a:t>
            </a:r>
            <a:endParaRPr lang="en-US" sz="10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0-427F-9E3E-BB50019C65B2}"/>
            </c:ext>
          </c:extLst>
        </c:ser>
        <c:ser>
          <c:idx val="2"/>
          <c:order val="1"/>
          <c:tx>
            <c:strRef>
              <c:f>'nuc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95.665000000000006</c:v>
                </c:pt>
                <c:pt idx="1">
                  <c:v>315.149</c:v>
                </c:pt>
                <c:pt idx="2">
                  <c:v>340.50299999999999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83.275999999999996</c:v>
                </c:pt>
                <c:pt idx="1">
                  <c:v>87.86</c:v>
                </c:pt>
                <c:pt idx="2">
                  <c:v>87.876000000000005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0-427F-9E3E-BB50019C65B2}"/>
            </c:ext>
          </c:extLst>
        </c:ser>
        <c:ser>
          <c:idx val="3"/>
          <c:order val="2"/>
          <c:tx>
            <c:strRef>
              <c:f>'nuc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96.561999999999998</c:v>
                </c:pt>
                <c:pt idx="1">
                  <c:v>390.40600000000001</c:v>
                </c:pt>
                <c:pt idx="2">
                  <c:v>447.13099999999997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83.234999999999999</c:v>
                </c:pt>
                <c:pt idx="1">
                  <c:v>89.311000000000007</c:v>
                </c:pt>
                <c:pt idx="2">
                  <c:v>88.182000000000002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0-427F-9E3E-BB50019C65B2}"/>
            </c:ext>
          </c:extLst>
        </c:ser>
        <c:ser>
          <c:idx val="0"/>
          <c:order val="3"/>
          <c:tx>
            <c:strRef>
              <c:f>'nuc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511.738</c:v>
                </c:pt>
                <c:pt idx="2">
                  <c:v>578.57100000000003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89.045000000000002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0-427F-9E3E-BB50019C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5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7"/>
          <c:order val="4"/>
          <c:tx>
            <c:v>L*H L%</c:v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98.028000000000006</c:v>
                </c:pt>
                <c:pt idx="1">
                  <c:v>465.83499999999998</c:v>
                </c:pt>
                <c:pt idx="2">
                  <c:v>572.68600000000004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83.620999999999995</c:v>
                </c:pt>
                <c:pt idx="1">
                  <c:v>88.418000000000006</c:v>
                </c:pt>
                <c:pt idx="2">
                  <c:v>82.266000000000005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364-48D0-A69D-5A69BDA276CA}"/>
            </c:ext>
          </c:extLst>
        </c:ser>
        <c:ser>
          <c:idx val="0"/>
          <c:order val="7"/>
          <c:tx>
            <c:v>L*H %</c:v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511.738</c:v>
                </c:pt>
                <c:pt idx="2">
                  <c:v>578.57100000000003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89.045000000000002</c:v>
                </c:pt>
                <c:pt idx="2">
                  <c:v>87.86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364-48D0-A69D-5A69BDA2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foot'!$A$1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364-48D0-A69D-5A69BDA276CA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foot'!$G$1</c15:sqref>
                        </c15:formulaRef>
                      </c:ext>
                    </c:extLst>
                    <c:strCache>
                      <c:ptCount val="1"/>
                      <c:pt idx="0">
                        <c:v>L%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6"/>
                  <c:spPr>
                    <a:pattFill prst="pct25">
                      <a:fgClr>
                        <a:schemeClr val="bg1"/>
                      </a:fgClr>
                      <a:bgClr>
                        <a:srgbClr val="1B9E77"/>
                      </a:bgClr>
                    </a:pattFill>
                    <a:ln>
                      <a:solidFill>
                        <a:srgbClr val="1B9E77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64-48D0-A69D-5A69BDA276CA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99.463000000000008</c:v>
                      </c:pt>
                      <c:pt idx="1">
                        <c:v>269.24599999999998</c:v>
                      </c:pt>
                      <c:pt idx="2">
                        <c:v>334.61799999999999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83.253999999999991</c:v>
                      </c:pt>
                      <c:pt idx="1">
                        <c:v>87.233000000000004</c:v>
                      </c:pt>
                      <c:pt idx="2">
                        <c:v>82.282000000000011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64-48D0-A69D-5A69BDA276CA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100.36</c:v>
                      </c:pt>
                      <c:pt idx="1">
                        <c:v>344.50299999999999</c:v>
                      </c:pt>
                      <c:pt idx="2">
                        <c:v>441.24599999999998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83.212999999999994</c:v>
                      </c:pt>
                      <c:pt idx="1">
                        <c:v>88.684000000000012</c:v>
                      </c:pt>
                      <c:pt idx="2">
                        <c:v>82.588000000000008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64-48D0-A69D-5A69BDA276CA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95.665000000000006</c:v>
                      </c:pt>
                      <c:pt idx="1">
                        <c:v>315.149</c:v>
                      </c:pt>
                      <c:pt idx="2">
                        <c:v>340.50299999999999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83.275999999999996</c:v>
                      </c:pt>
                      <c:pt idx="1">
                        <c:v>87.86</c:v>
                      </c:pt>
                      <c:pt idx="2">
                        <c:v>87.876000000000005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64-48D0-A69D-5A69BDA276CA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96.561999999999998</c:v>
                      </c:pt>
                      <c:pt idx="1">
                        <c:v>390.40600000000001</c:v>
                      </c:pt>
                      <c:pt idx="2">
                        <c:v>447.13099999999997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83.234999999999999</c:v>
                      </c:pt>
                      <c:pt idx="1">
                        <c:v>89.311000000000007</c:v>
                      </c:pt>
                      <c:pt idx="2">
                        <c:v>88.182000000000002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64-48D0-A69D-5A69BDA276CA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  <c:minorUnit val="50"/>
      </c:valAx>
      <c:valAx>
        <c:axId val="501389184"/>
        <c:scaling>
          <c:orientation val="minMax"/>
          <c:max val="9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3397990063359519"/>
          <c:y val="0.60069714533023755"/>
          <c:w val="0.30458999999999997"/>
          <c:h val="0.16389137645107793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1-4C4E-ABA7-49F7FA9EE8F6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89.659000000000006</c:v>
                </c:pt>
                <c:pt idx="1">
                  <c:v>213.20900000000003</c:v>
                </c:pt>
                <c:pt idx="2">
                  <c:v>293.06200000000001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82.866</c:v>
                </c:pt>
                <c:pt idx="1">
                  <c:v>87.195999999999998</c:v>
                </c:pt>
                <c:pt idx="2">
                  <c:v>81.425000000000011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1-4C4E-ABA7-49F7FA9EE8F6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91.424999999999997</c:v>
                </c:pt>
                <c:pt idx="1">
                  <c:v>208.52800000000002</c:v>
                </c:pt>
                <c:pt idx="2">
                  <c:v>293.90199999999999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82.595999999999989</c:v>
                </c:pt>
                <c:pt idx="1">
                  <c:v>87.132000000000005</c:v>
                </c:pt>
                <c:pt idx="2">
                  <c:v>81.14500000000001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1-4C4E-ABA7-49F7FA9EE8F6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83.945000000000007</c:v>
                </c:pt>
                <c:pt idx="1">
                  <c:v>202.46800000000002</c:v>
                </c:pt>
                <c:pt idx="2">
                  <c:v>288.69299999999998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82.597999999999999</c:v>
                </c:pt>
                <c:pt idx="1">
                  <c:v>87.522000000000006</c:v>
                </c:pt>
                <c:pt idx="2">
                  <c:v>81.14200000000001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1-4C4E-ABA7-49F7FA9EE8F6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E1-4C4E-ABA7-49F7FA9EE8F6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85.861000000000004</c:v>
                </c:pt>
                <c:pt idx="1">
                  <c:v>259.11200000000002</c:v>
                </c:pt>
                <c:pt idx="2">
                  <c:v>298.947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82.888000000000005</c:v>
                </c:pt>
                <c:pt idx="1">
                  <c:v>87.822999999999993</c:v>
                </c:pt>
                <c:pt idx="2">
                  <c:v>87.019000000000005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E1-4C4E-ABA7-49F7FA9EE8F6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87.626999999999995</c:v>
                </c:pt>
                <c:pt idx="1">
                  <c:v>254.43100000000001</c:v>
                </c:pt>
                <c:pt idx="2">
                  <c:v>299.78699999999998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82.617999999999995</c:v>
                </c:pt>
                <c:pt idx="1">
                  <c:v>87.759</c:v>
                </c:pt>
                <c:pt idx="2">
                  <c:v>86.739000000000004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E1-4C4E-ABA7-49F7FA9EE8F6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80.147000000000006</c:v>
                </c:pt>
                <c:pt idx="1">
                  <c:v>248.37100000000001</c:v>
                </c:pt>
                <c:pt idx="2">
                  <c:v>294.57799999999997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</c:v>
                </c:pt>
                <c:pt idx="1">
                  <c:v>88.149000000000001</c:v>
                </c:pt>
                <c:pt idx="2">
                  <c:v>86.736000000000004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E1-4C4E-ABA7-49F7FA9E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7-482B-A046-51B94055CEB1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89.659000000000006</c:v>
                </c:pt>
                <c:pt idx="1">
                  <c:v>213.20900000000003</c:v>
                </c:pt>
                <c:pt idx="2">
                  <c:v>293.06200000000001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82.866</c:v>
                </c:pt>
                <c:pt idx="1">
                  <c:v>87.195999999999998</c:v>
                </c:pt>
                <c:pt idx="2">
                  <c:v>81.425000000000011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7-482B-A046-51B94055CEB1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91.424999999999997</c:v>
                </c:pt>
                <c:pt idx="1">
                  <c:v>208.52800000000002</c:v>
                </c:pt>
                <c:pt idx="2">
                  <c:v>293.90199999999999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82.595999999999989</c:v>
                </c:pt>
                <c:pt idx="1">
                  <c:v>87.132000000000005</c:v>
                </c:pt>
                <c:pt idx="2">
                  <c:v>81.14500000000001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57-482B-A046-51B94055CEB1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83.945000000000007</c:v>
                </c:pt>
                <c:pt idx="1">
                  <c:v>202.46800000000002</c:v>
                </c:pt>
                <c:pt idx="2">
                  <c:v>288.69299999999998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82.597999999999999</c:v>
                </c:pt>
                <c:pt idx="1">
                  <c:v>87.522000000000006</c:v>
                </c:pt>
                <c:pt idx="2">
                  <c:v>81.14200000000001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57-482B-A046-51B94055CEB1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57-482B-A046-51B94055CEB1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85.861000000000004</c:v>
                </c:pt>
                <c:pt idx="1">
                  <c:v>259.11200000000002</c:v>
                </c:pt>
                <c:pt idx="2">
                  <c:v>298.947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82.888000000000005</c:v>
                </c:pt>
                <c:pt idx="1">
                  <c:v>87.822999999999993</c:v>
                </c:pt>
                <c:pt idx="2">
                  <c:v>87.019000000000005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57-482B-A046-51B94055CEB1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87.626999999999995</c:v>
                </c:pt>
                <c:pt idx="1">
                  <c:v>254.43100000000001</c:v>
                </c:pt>
                <c:pt idx="2">
                  <c:v>299.78699999999998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82.617999999999995</c:v>
                </c:pt>
                <c:pt idx="1">
                  <c:v>87.759</c:v>
                </c:pt>
                <c:pt idx="2">
                  <c:v>86.739000000000004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57-482B-A046-51B94055CEB1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80.147000000000006</c:v>
                </c:pt>
                <c:pt idx="1">
                  <c:v>248.37100000000001</c:v>
                </c:pt>
                <c:pt idx="2">
                  <c:v>294.57799999999997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</c:v>
                </c:pt>
                <c:pt idx="1">
                  <c:v>88.149000000000001</c:v>
                </c:pt>
                <c:pt idx="2">
                  <c:v>86.736000000000004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57-482B-A046-51B94055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4-4293-B724-DB898C4F3522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89.659000000000006</c:v>
                </c:pt>
                <c:pt idx="1">
                  <c:v>213.20900000000003</c:v>
                </c:pt>
                <c:pt idx="2">
                  <c:v>293.06200000000001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82.866</c:v>
                </c:pt>
                <c:pt idx="1">
                  <c:v>87.195999999999998</c:v>
                </c:pt>
                <c:pt idx="2">
                  <c:v>81.425000000000011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4-4293-B724-DB898C4F3522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91.424999999999997</c:v>
                </c:pt>
                <c:pt idx="1">
                  <c:v>208.52800000000002</c:v>
                </c:pt>
                <c:pt idx="2">
                  <c:v>293.90199999999999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82.595999999999989</c:v>
                </c:pt>
                <c:pt idx="1">
                  <c:v>87.132000000000005</c:v>
                </c:pt>
                <c:pt idx="2">
                  <c:v>81.14500000000001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4-4293-B724-DB898C4F3522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83.945000000000007</c:v>
                </c:pt>
                <c:pt idx="1">
                  <c:v>202.46800000000002</c:v>
                </c:pt>
                <c:pt idx="2">
                  <c:v>288.69299999999998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82.597999999999999</c:v>
                </c:pt>
                <c:pt idx="1">
                  <c:v>87.522000000000006</c:v>
                </c:pt>
                <c:pt idx="2">
                  <c:v>81.14200000000001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4-4293-B724-DB898C4F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934-4293-B724-DB898C4F352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85.861000000000004</c:v>
                      </c:pt>
                      <c:pt idx="1">
                        <c:v>259.11200000000002</c:v>
                      </c:pt>
                      <c:pt idx="2">
                        <c:v>298.947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82.888000000000005</c:v>
                      </c:pt>
                      <c:pt idx="1">
                        <c:v>87.822999999999993</c:v>
                      </c:pt>
                      <c:pt idx="2">
                        <c:v>87.019000000000005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34-4293-B724-DB898C4F352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87.626999999999995</c:v>
                      </c:pt>
                      <c:pt idx="1">
                        <c:v>254.43100000000001</c:v>
                      </c:pt>
                      <c:pt idx="2">
                        <c:v>299.78699999999998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82.617999999999995</c:v>
                      </c:pt>
                      <c:pt idx="1">
                        <c:v>87.759</c:v>
                      </c:pt>
                      <c:pt idx="2">
                        <c:v>86.739000000000004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34-4293-B724-DB898C4F352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80.147000000000006</c:v>
                      </c:pt>
                      <c:pt idx="1">
                        <c:v>248.37100000000001</c:v>
                      </c:pt>
                      <c:pt idx="2">
                        <c:v>294.57799999999997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</c:v>
                      </c:pt>
                      <c:pt idx="1">
                        <c:v>88.149000000000001</c:v>
                      </c:pt>
                      <c:pt idx="2">
                        <c:v>86.736000000000004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34-4293-B724-DB898C4F352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8827211114483964"/>
          <c:y val="5.1780265339966838E-2"/>
          <c:w val="0.38745140207193424"/>
          <c:h val="0.269864013266998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1-496B-B47C-A3753477F90F}"/>
            </c:ext>
          </c:extLst>
        </c:ser>
        <c:ser>
          <c:idx val="2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89.659000000000006</c:v>
                </c:pt>
                <c:pt idx="1">
                  <c:v>213.20900000000003</c:v>
                </c:pt>
                <c:pt idx="2">
                  <c:v>293.06200000000001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82.866</c:v>
                </c:pt>
                <c:pt idx="1">
                  <c:v>87.195999999999998</c:v>
                </c:pt>
                <c:pt idx="2">
                  <c:v>81.425000000000011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1-496B-B47C-A3753477F90F}"/>
            </c:ext>
          </c:extLst>
        </c:ser>
        <c:ser>
          <c:idx val="3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91.424999999999997</c:v>
                </c:pt>
                <c:pt idx="1">
                  <c:v>208.52800000000002</c:v>
                </c:pt>
                <c:pt idx="2">
                  <c:v>293.90199999999999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82.595999999999989</c:v>
                </c:pt>
                <c:pt idx="1">
                  <c:v>87.132000000000005</c:v>
                </c:pt>
                <c:pt idx="2">
                  <c:v>81.14500000000001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1-496B-B47C-A3753477F90F}"/>
            </c:ext>
          </c:extLst>
        </c:ser>
        <c:ser>
          <c:idx val="0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83.945000000000007</c:v>
                </c:pt>
                <c:pt idx="1">
                  <c:v>202.46800000000002</c:v>
                </c:pt>
                <c:pt idx="2">
                  <c:v>288.69299999999998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82.597999999999999</c:v>
                </c:pt>
                <c:pt idx="1">
                  <c:v>87.522000000000006</c:v>
                </c:pt>
                <c:pt idx="2">
                  <c:v>81.14200000000001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11-496B-B47C-A3753477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1-prel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85.861000000000004</c:v>
                </c:pt>
                <c:pt idx="1">
                  <c:v>259.11200000000002</c:v>
                </c:pt>
                <c:pt idx="2">
                  <c:v>298.947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82.888000000000005</c:v>
                </c:pt>
                <c:pt idx="1">
                  <c:v>87.822999999999993</c:v>
                </c:pt>
                <c:pt idx="2">
                  <c:v>87.019000000000005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C-4CA4-AF70-A1512BA9690D}"/>
            </c:ext>
          </c:extLst>
        </c:ser>
        <c:ser>
          <c:idx val="5"/>
          <c:order val="2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89.659000000000006</c:v>
                </c:pt>
                <c:pt idx="1">
                  <c:v>213.20900000000003</c:v>
                </c:pt>
                <c:pt idx="2">
                  <c:v>293.06200000000001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82.866</c:v>
                </c:pt>
                <c:pt idx="1">
                  <c:v>87.195999999999998</c:v>
                </c:pt>
                <c:pt idx="2">
                  <c:v>81.425000000000011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C-4CA4-AF70-A1512BA9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89C-4CA4-AF70-A1512BA9690D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91.424999999999997</c:v>
                      </c:pt>
                      <c:pt idx="1">
                        <c:v>208.52800000000002</c:v>
                      </c:pt>
                      <c:pt idx="2">
                        <c:v>293.90199999999999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82.595999999999989</c:v>
                      </c:pt>
                      <c:pt idx="1">
                        <c:v>87.132000000000005</c:v>
                      </c:pt>
                      <c:pt idx="2">
                        <c:v>81.14500000000001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9C-4CA4-AF70-A1512BA9690D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83.945000000000007</c:v>
                      </c:pt>
                      <c:pt idx="1">
                        <c:v>202.46800000000002</c:v>
                      </c:pt>
                      <c:pt idx="2">
                        <c:v>288.69299999999998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82.597999999999999</c:v>
                      </c:pt>
                      <c:pt idx="1">
                        <c:v>87.522000000000006</c:v>
                      </c:pt>
                      <c:pt idx="2">
                        <c:v>81.14200000000001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9C-4CA4-AF70-A1512BA9690D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9C-4CA4-AF70-A1512BA9690D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87.626999999999995</c:v>
                      </c:pt>
                      <c:pt idx="1">
                        <c:v>254.43100000000001</c:v>
                      </c:pt>
                      <c:pt idx="2">
                        <c:v>299.78699999999998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82.617999999999995</c:v>
                      </c:pt>
                      <c:pt idx="1">
                        <c:v>87.759</c:v>
                      </c:pt>
                      <c:pt idx="2">
                        <c:v>86.739000000000004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9C-4CA4-AF70-A1512BA9690D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80.147000000000006</c:v>
                      </c:pt>
                      <c:pt idx="1">
                        <c:v>248.37100000000001</c:v>
                      </c:pt>
                      <c:pt idx="2">
                        <c:v>294.57799999999997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</c:v>
                      </c:pt>
                      <c:pt idx="1">
                        <c:v>88.149000000000001</c:v>
                      </c:pt>
                      <c:pt idx="2">
                        <c:v>86.736000000000004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9C-4CA4-AF70-A1512BA9690D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87.626999999999995</c:v>
                </c:pt>
                <c:pt idx="1">
                  <c:v>254.43100000000001</c:v>
                </c:pt>
                <c:pt idx="2">
                  <c:v>299.78699999999998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82.617999999999995</c:v>
                </c:pt>
                <c:pt idx="1">
                  <c:v>87.759</c:v>
                </c:pt>
                <c:pt idx="2">
                  <c:v>86.739000000000004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A-4E1B-9A8E-CA28498A16D9}"/>
            </c:ext>
          </c:extLst>
        </c:ser>
        <c:ser>
          <c:idx val="6"/>
          <c:order val="3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91.424999999999997</c:v>
                </c:pt>
                <c:pt idx="1">
                  <c:v>208.52800000000002</c:v>
                </c:pt>
                <c:pt idx="2">
                  <c:v>293.90199999999999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82.595999999999989</c:v>
                </c:pt>
                <c:pt idx="1">
                  <c:v>87.132000000000005</c:v>
                </c:pt>
                <c:pt idx="2">
                  <c:v>81.14500000000001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A-4E1B-9A8E-CA28498A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77A-4E1B-9A8E-CA28498A16D9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89.659000000000006</c:v>
                      </c:pt>
                      <c:pt idx="1">
                        <c:v>213.20900000000003</c:v>
                      </c:pt>
                      <c:pt idx="2">
                        <c:v>293.06200000000001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82.866</c:v>
                      </c:pt>
                      <c:pt idx="1">
                        <c:v>87.195999999999998</c:v>
                      </c:pt>
                      <c:pt idx="2">
                        <c:v>81.425000000000011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7A-4E1B-9A8E-CA28498A16D9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83.945000000000007</c:v>
                      </c:pt>
                      <c:pt idx="1">
                        <c:v>202.46800000000002</c:v>
                      </c:pt>
                      <c:pt idx="2">
                        <c:v>288.69299999999998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82.597999999999999</c:v>
                      </c:pt>
                      <c:pt idx="1">
                        <c:v>87.522000000000006</c:v>
                      </c:pt>
                      <c:pt idx="2">
                        <c:v>81.14200000000001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7A-4E1B-9A8E-CA28498A16D9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77A-4E1B-9A8E-CA28498A16D9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85.861000000000004</c:v>
                      </c:pt>
                      <c:pt idx="1">
                        <c:v>259.11200000000002</c:v>
                      </c:pt>
                      <c:pt idx="2">
                        <c:v>298.947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82.888000000000005</c:v>
                      </c:pt>
                      <c:pt idx="1">
                        <c:v>87.822999999999993</c:v>
                      </c:pt>
                      <c:pt idx="2">
                        <c:v>87.019000000000005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7A-4E1B-9A8E-CA28498A16D9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80.147000000000006</c:v>
                      </c:pt>
                      <c:pt idx="1">
                        <c:v>248.37100000000001</c:v>
                      </c:pt>
                      <c:pt idx="2">
                        <c:v>294.57799999999997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</c:v>
                      </c:pt>
                      <c:pt idx="1">
                        <c:v>88.149000000000001</c:v>
                      </c:pt>
                      <c:pt idx="2">
                        <c:v>86.736000000000004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7A-4E1B-9A8E-CA28498A16D9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3-pre</a:t>
            </a:r>
            <a:r>
              <a:rPr lang="en-US" sz="1000" baseline="0"/>
              <a:t> </a:t>
            </a:r>
            <a:r>
              <a:rPr lang="en-US" sz="1000"/>
              <a:t>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80.147000000000006</c:v>
                </c:pt>
                <c:pt idx="1">
                  <c:v>248.37100000000001</c:v>
                </c:pt>
                <c:pt idx="2">
                  <c:v>294.57799999999997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</c:v>
                </c:pt>
                <c:pt idx="1">
                  <c:v>88.149000000000001</c:v>
                </c:pt>
                <c:pt idx="2">
                  <c:v>86.736000000000004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036-47D7-B198-0BB170B0AB5E}"/>
            </c:ext>
          </c:extLst>
        </c:ser>
        <c:ser>
          <c:idx val="7"/>
          <c:order val="4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83.945000000000007</c:v>
                </c:pt>
                <c:pt idx="1">
                  <c:v>202.46800000000002</c:v>
                </c:pt>
                <c:pt idx="2">
                  <c:v>288.69299999999998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82.597999999999999</c:v>
                </c:pt>
                <c:pt idx="1">
                  <c:v>87.522000000000006</c:v>
                </c:pt>
                <c:pt idx="2">
                  <c:v>81.14200000000001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6-47D7-B198-0BB170B0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036-47D7-B198-0BB170B0AB5E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89.659000000000006</c:v>
                      </c:pt>
                      <c:pt idx="1">
                        <c:v>213.20900000000003</c:v>
                      </c:pt>
                      <c:pt idx="2">
                        <c:v>293.06200000000001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82.866</c:v>
                      </c:pt>
                      <c:pt idx="1">
                        <c:v>87.195999999999998</c:v>
                      </c:pt>
                      <c:pt idx="2">
                        <c:v>81.425000000000011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36-47D7-B198-0BB170B0AB5E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91.424999999999997</c:v>
                      </c:pt>
                      <c:pt idx="1">
                        <c:v>208.52800000000002</c:v>
                      </c:pt>
                      <c:pt idx="2">
                        <c:v>293.90199999999999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82.595999999999989</c:v>
                      </c:pt>
                      <c:pt idx="1">
                        <c:v>87.132000000000005</c:v>
                      </c:pt>
                      <c:pt idx="2">
                        <c:v>81.14500000000001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6-47D7-B198-0BB170B0AB5E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6-47D7-B198-0BB170B0AB5E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85.861000000000004</c:v>
                      </c:pt>
                      <c:pt idx="1">
                        <c:v>259.11200000000002</c:v>
                      </c:pt>
                      <c:pt idx="2">
                        <c:v>298.947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82.888000000000005</c:v>
                      </c:pt>
                      <c:pt idx="1">
                        <c:v>87.822999999999993</c:v>
                      </c:pt>
                      <c:pt idx="2">
                        <c:v>87.019000000000005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36-47D7-B198-0BB170B0AB5E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87.626999999999995</c:v>
                      </c:pt>
                      <c:pt idx="1">
                        <c:v>254.43100000000001</c:v>
                      </c:pt>
                      <c:pt idx="2">
                        <c:v>299.78699999999998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82.617999999999995</c:v>
                      </c:pt>
                      <c:pt idx="1">
                        <c:v>87.759</c:v>
                      </c:pt>
                      <c:pt idx="2">
                        <c:v>86.739000000000004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36-47D7-B198-0BB170B0AB5E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85.861000000000004</c:v>
                </c:pt>
                <c:pt idx="1">
                  <c:v>259.11200000000002</c:v>
                </c:pt>
                <c:pt idx="2">
                  <c:v>298.947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82.888000000000005</c:v>
                </c:pt>
                <c:pt idx="1">
                  <c:v>87.822999999999993</c:v>
                </c:pt>
                <c:pt idx="2">
                  <c:v>87.019000000000005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90E-842A-7D245840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95.665000000000006</c:v>
                </c:pt>
                <c:pt idx="1">
                  <c:v>315.149</c:v>
                </c:pt>
                <c:pt idx="2">
                  <c:v>340.50299999999999</c:v>
                </c:pt>
              </c:numCache>
              <c:extLst xmlns:c15="http://schemas.microsoft.com/office/drawing/2012/chart"/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83.275999999999996</c:v>
                </c:pt>
                <c:pt idx="1">
                  <c:v>87.86</c:v>
                </c:pt>
                <c:pt idx="2">
                  <c:v>87.876000000000005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A103-4B5A-9A70-DB2B69F58F16}"/>
            </c:ext>
          </c:extLst>
        </c:ser>
        <c:ser>
          <c:idx val="5"/>
          <c:order val="2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99.463000000000008</c:v>
                </c:pt>
                <c:pt idx="1">
                  <c:v>269.24599999999998</c:v>
                </c:pt>
                <c:pt idx="2">
                  <c:v>334.61799999999999</c:v>
                </c:pt>
              </c:numCache>
              <c:extLst xmlns:c15="http://schemas.microsoft.com/office/drawing/2012/chart"/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83.253999999999991</c:v>
                </c:pt>
                <c:pt idx="1">
                  <c:v>87.233000000000004</c:v>
                </c:pt>
                <c:pt idx="2">
                  <c:v>82.282000000000011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A103-4B5A-9A70-DB2B69F5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103-4B5A-9A70-DB2B69F58F16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100.36</c:v>
                      </c:pt>
                      <c:pt idx="1">
                        <c:v>344.50299999999999</c:v>
                      </c:pt>
                      <c:pt idx="2">
                        <c:v>441.24599999999998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83.212999999999994</c:v>
                      </c:pt>
                      <c:pt idx="1">
                        <c:v>88.684000000000012</c:v>
                      </c:pt>
                      <c:pt idx="2">
                        <c:v>82.588000000000008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03-4B5A-9A70-DB2B69F58F16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98.028000000000006</c:v>
                      </c:pt>
                      <c:pt idx="1">
                        <c:v>465.83499999999998</c:v>
                      </c:pt>
                      <c:pt idx="2">
                        <c:v>572.68600000000004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83.620999999999995</c:v>
                      </c:pt>
                      <c:pt idx="1">
                        <c:v>88.418000000000006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03-4B5A-9A70-DB2B69F58F16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03-4B5A-9A70-DB2B69F58F16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96.561999999999998</c:v>
                      </c:pt>
                      <c:pt idx="1">
                        <c:v>390.40600000000001</c:v>
                      </c:pt>
                      <c:pt idx="2">
                        <c:v>447.13099999999997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83.234999999999999</c:v>
                      </c:pt>
                      <c:pt idx="1">
                        <c:v>89.311000000000007</c:v>
                      </c:pt>
                      <c:pt idx="2">
                        <c:v>88.182000000000002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03-4B5A-9A70-DB2B69F58F16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94.23</c:v>
                      </c:pt>
                      <c:pt idx="1">
                        <c:v>511.738</c:v>
                      </c:pt>
                      <c:pt idx="2">
                        <c:v>578.57100000000003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83.643000000000001</c:v>
                      </c:pt>
                      <c:pt idx="1">
                        <c:v>89.045000000000002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03-4B5A-9A70-DB2B69F58F16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87.626999999999995</c:v>
                </c:pt>
                <c:pt idx="1">
                  <c:v>254.43100000000001</c:v>
                </c:pt>
                <c:pt idx="2">
                  <c:v>299.78699999999998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82.617999999999995</c:v>
                </c:pt>
                <c:pt idx="1">
                  <c:v>87.759</c:v>
                </c:pt>
                <c:pt idx="2">
                  <c:v>86.739000000000004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4-4685-A540-1E5EF79E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80.147000000000006</c:v>
                </c:pt>
                <c:pt idx="1">
                  <c:v>248.37100000000001</c:v>
                </c:pt>
                <c:pt idx="2">
                  <c:v>294.57799999999997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</c:v>
                </c:pt>
                <c:pt idx="1">
                  <c:v>88.149000000000001</c:v>
                </c:pt>
                <c:pt idx="2">
                  <c:v>86.736000000000004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E-4CD8-820D-B54EE884F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 w="19050" cap="rnd">
              <a:solidFill>
                <a:srgbClr val="1B9E7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49804"/>
                  </a:srgbClr>
                </a:solidFill>
                <a:round/>
              </a:ln>
              <a:effectLst/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B-4F6E-8133-C8FF9079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2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61.086795791863011</c:v>
                  </c:pt>
                  <c:pt idx="2">
                    <c:v>61.099063359896974</c:v>
                  </c:pt>
                  <c:pt idx="3">
                    <c:v>61.166327500196985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61.086795791863011</c:v>
                  </c:pt>
                  <c:pt idx="2">
                    <c:v>61.099063359896974</c:v>
                  </c:pt>
                  <c:pt idx="3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pre'!$B$29:$B$32</c:f>
              <c:numCache>
                <c:formatCode>0</c:formatCode>
                <c:ptCount val="4"/>
                <c:pt idx="0">
                  <c:v>329.84500000000003</c:v>
                </c:pt>
                <c:pt idx="1">
                  <c:v>298.947</c:v>
                </c:pt>
                <c:pt idx="2">
                  <c:v>299.78699999999998</c:v>
                </c:pt>
                <c:pt idx="3">
                  <c:v>294.57799999999997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4-49C7-BA96-A735D7D16D62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61.086795791863011</c:v>
                  </c:pt>
                  <c:pt idx="2">
                    <c:v>61.099063359896974</c:v>
                  </c:pt>
                  <c:pt idx="3">
                    <c:v>61.166327500196985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61.086795791863011</c:v>
                  </c:pt>
                  <c:pt idx="2">
                    <c:v>61.099063359896974</c:v>
                  </c:pt>
                  <c:pt idx="3">
                    <c:v>61.166327500196985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pre'!$I$29:$I$32</c:f>
              <c:numCache>
                <c:formatCode>0</c:formatCode>
                <c:ptCount val="4"/>
                <c:pt idx="0">
                  <c:v>323.96000000000004</c:v>
                </c:pt>
                <c:pt idx="1">
                  <c:v>293.06200000000001</c:v>
                </c:pt>
                <c:pt idx="2">
                  <c:v>293.90199999999999</c:v>
                </c:pt>
                <c:pt idx="3">
                  <c:v>288.69299999999998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4-49C7-BA96-A735D7D1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50.91755080800101</c:v>
                  </c:pt>
                  <c:pt idx="2">
                    <c:v>50.917630696263018</c:v>
                  </c:pt>
                  <c:pt idx="3">
                    <c:v>50.956361284164018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50.91755080800101</c:v>
                  </c:pt>
                  <c:pt idx="2">
                    <c:v>50.917630696263018</c:v>
                  </c:pt>
                  <c:pt idx="3">
                    <c:v>50.956361284164018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293.46300000000002</c:v>
                </c:pt>
                <c:pt idx="1">
                  <c:v>259.11200000000002</c:v>
                </c:pt>
                <c:pt idx="2">
                  <c:v>254.43100000000001</c:v>
                </c:pt>
                <c:pt idx="3">
                  <c:v>248.37100000000001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3-48D4-829C-9C656BD681B1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50.91755080800101</c:v>
                  </c:pt>
                  <c:pt idx="2">
                    <c:v>50.917630696263018</c:v>
                  </c:pt>
                  <c:pt idx="3">
                    <c:v>50.956361284164018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50.91755080800101</c:v>
                  </c:pt>
                  <c:pt idx="2">
                    <c:v>50.917630696263018</c:v>
                  </c:pt>
                  <c:pt idx="3">
                    <c:v>50.956361284164018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pre'!$I$16:$I$19</c:f>
              <c:numCache>
                <c:formatCode>0</c:formatCode>
                <c:ptCount val="4"/>
                <c:pt idx="0">
                  <c:v>247.56000000000003</c:v>
                </c:pt>
                <c:pt idx="1">
                  <c:v>213.20900000000003</c:v>
                </c:pt>
                <c:pt idx="2">
                  <c:v>208.52800000000002</c:v>
                </c:pt>
                <c:pt idx="3">
                  <c:v>202.46800000000002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3-48D4-829C-9C656BD681B1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47.079025433203704</c:v>
                  </c:pt>
                  <c:pt idx="2">
                    <c:v>47.109339765899094</c:v>
                  </c:pt>
                  <c:pt idx="3">
                    <c:v>47.262346928028407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47.079025433203704</c:v>
                  </c:pt>
                  <c:pt idx="2">
                    <c:v>47.109339765899094</c:v>
                  </c:pt>
                  <c:pt idx="3">
                    <c:v>47.262346928028407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pre'!$B$3:$B$6</c:f>
              <c:numCache>
                <c:formatCode>0</c:formatCode>
                <c:ptCount val="4"/>
                <c:pt idx="0">
                  <c:v>93.635000000000005</c:v>
                </c:pt>
                <c:pt idx="1">
                  <c:v>85.861000000000004</c:v>
                </c:pt>
                <c:pt idx="2">
                  <c:v>87.626999999999995</c:v>
                </c:pt>
                <c:pt idx="3">
                  <c:v>80.147000000000006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3-48D4-829C-9C656BD681B1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47.079025433203704</c:v>
                  </c:pt>
                  <c:pt idx="2">
                    <c:v>47.109339765899094</c:v>
                  </c:pt>
                  <c:pt idx="3">
                    <c:v>47.262346928028407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47.079025433203704</c:v>
                  </c:pt>
                  <c:pt idx="2">
                    <c:v>47.109339765899094</c:v>
                  </c:pt>
                  <c:pt idx="3">
                    <c:v>47.262346928028407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pre'!$I$3:$I$6</c:f>
              <c:numCache>
                <c:formatCode>0</c:formatCode>
                <c:ptCount val="4"/>
                <c:pt idx="0">
                  <c:v>97.433000000000007</c:v>
                </c:pt>
                <c:pt idx="1">
                  <c:v>89.659000000000006</c:v>
                </c:pt>
                <c:pt idx="2">
                  <c:v>91.424999999999997</c:v>
                </c:pt>
                <c:pt idx="3">
                  <c:v>83.945000000000007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3-48D4-829C-9C656BD6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L% </a:t>
            </a:r>
            <a:r>
              <a:rPr lang="en-US"/>
              <a:t>re</a:t>
            </a:r>
            <a:r>
              <a:rPr lang="en-US" sz="1100"/>
              <a:t>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3.5709587338183013</c:v>
                  </c:pt>
                  <c:pt idx="2">
                    <c:v>3.7296073598114106</c:v>
                  </c:pt>
                  <c:pt idx="3">
                    <c:v>3.7296180179110081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3.5709587338183013</c:v>
                  </c:pt>
                  <c:pt idx="2">
                    <c:v>3.7296073598114106</c:v>
                  </c:pt>
                  <c:pt idx="3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pre'!$B$35:$B$38</c:f>
              <c:numCache>
                <c:formatCode>0.0</c:formatCode>
                <c:ptCount val="4"/>
                <c:pt idx="0">
                  <c:v>86.513000000000005</c:v>
                </c:pt>
                <c:pt idx="1">
                  <c:v>87.019000000000005</c:v>
                </c:pt>
                <c:pt idx="2">
                  <c:v>86.739000000000004</c:v>
                </c:pt>
                <c:pt idx="3">
                  <c:v>86.736000000000004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D73-8091-0254B2FCD165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3.5709587338183013</c:v>
                  </c:pt>
                  <c:pt idx="2">
                    <c:v>3.7296073598114106</c:v>
                  </c:pt>
                  <c:pt idx="3">
                    <c:v>3.7296180179110081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3.5709587338183013</c:v>
                  </c:pt>
                  <c:pt idx="2">
                    <c:v>3.7296073598114106</c:v>
                  </c:pt>
                  <c:pt idx="3">
                    <c:v>3.7296180179110081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pre'!$I$35:$I$38</c:f>
              <c:numCache>
                <c:formatCode>0.0</c:formatCode>
                <c:ptCount val="4"/>
                <c:pt idx="0">
                  <c:v>80.919000000000011</c:v>
                </c:pt>
                <c:pt idx="1">
                  <c:v>81.425000000000011</c:v>
                </c:pt>
                <c:pt idx="2">
                  <c:v>81.14500000000001</c:v>
                </c:pt>
                <c:pt idx="3">
                  <c:v>81.14200000000001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D73-8091-0254B2FC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effectLst/>
                  </a:rPr>
                  <a:t>f</a:t>
                </a:r>
                <a:r>
                  <a:rPr lang="en-US" sz="900" b="0" i="0" baseline="-25000">
                    <a:effectLst/>
                  </a:rPr>
                  <a:t>0</a:t>
                </a:r>
                <a:r>
                  <a:rPr lang="en-US" sz="900" b="0" i="0" baseline="0">
                    <a:effectLst/>
                  </a:rPr>
                  <a:t> (ST re 1 Hz)</a:t>
                </a:r>
                <a:endParaRPr lang="en-IE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f0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3.1986064059363883</c:v>
                  </c:pt>
                  <c:pt idx="2">
                    <c:v>3.1985691591827958</c:v>
                  </c:pt>
                  <c:pt idx="3">
                    <c:v>3.1967472194321971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3.1986064059363883</c:v>
                  </c:pt>
                  <c:pt idx="2">
                    <c:v>3.1985691591827958</c:v>
                  </c:pt>
                  <c:pt idx="3">
                    <c:v>3.1967472194321971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pre'!$B$22:$B$25</c:f>
              <c:numCache>
                <c:formatCode>0.0</c:formatCode>
                <c:ptCount val="4"/>
                <c:pt idx="0">
                  <c:v>87.010999999999996</c:v>
                </c:pt>
                <c:pt idx="1">
                  <c:v>87.822999999999993</c:v>
                </c:pt>
                <c:pt idx="2">
                  <c:v>87.759</c:v>
                </c:pt>
                <c:pt idx="3">
                  <c:v>88.149000000000001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3-4F2D-AA38-EFC9F4766FE4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3.1986064059363883</c:v>
                  </c:pt>
                  <c:pt idx="2">
                    <c:v>3.1985691591827958</c:v>
                  </c:pt>
                  <c:pt idx="3">
                    <c:v>3.1967472194321971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3.1986064059363883</c:v>
                  </c:pt>
                  <c:pt idx="2">
                    <c:v>3.1985691591827958</c:v>
                  </c:pt>
                  <c:pt idx="3">
                    <c:v>3.1967472194321971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pre'!$I$22:$I$25</c:f>
              <c:numCache>
                <c:formatCode>0.0</c:formatCode>
                <c:ptCount val="4"/>
                <c:pt idx="0">
                  <c:v>86.384</c:v>
                </c:pt>
                <c:pt idx="1">
                  <c:v>87.195999999999998</c:v>
                </c:pt>
                <c:pt idx="2">
                  <c:v>87.132000000000005</c:v>
                </c:pt>
                <c:pt idx="3">
                  <c:v>87.522000000000006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3-4F2D-AA38-EFC9F4766FE4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3.2619701986191103</c:v>
                  </c:pt>
                  <c:pt idx="2">
                    <c:v>3.2775880918529907</c:v>
                  </c:pt>
                  <c:pt idx="3">
                    <c:v>3.2777719515999024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3.2619701986191103</c:v>
                  </c:pt>
                  <c:pt idx="2">
                    <c:v>3.2775880918529907</c:v>
                  </c:pt>
                  <c:pt idx="3">
                    <c:v>3.2777719515999024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pre'!$B$9:$B$12</c:f>
              <c:numCache>
                <c:formatCode>0.0</c:formatCode>
                <c:ptCount val="4"/>
                <c:pt idx="0">
                  <c:v>82.762</c:v>
                </c:pt>
                <c:pt idx="1">
                  <c:v>82.888000000000005</c:v>
                </c:pt>
                <c:pt idx="2">
                  <c:v>82.617999999999995</c:v>
                </c:pt>
                <c:pt idx="3">
                  <c:v>82.62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3-4F2D-AA38-EFC9F4766FE4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3.2619701986191103</c:v>
                  </c:pt>
                  <c:pt idx="2">
                    <c:v>3.2775880918529907</c:v>
                  </c:pt>
                  <c:pt idx="3">
                    <c:v>3.2777719515999024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3.2619701986191103</c:v>
                  </c:pt>
                  <c:pt idx="2">
                    <c:v>3.2775880918529907</c:v>
                  </c:pt>
                  <c:pt idx="3">
                    <c:v>3.2777719515999024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pre'!$I$9:$I$12</c:f>
              <c:numCache>
                <c:formatCode>0.0</c:formatCode>
                <c:ptCount val="4"/>
                <c:pt idx="0">
                  <c:v>82.74</c:v>
                </c:pt>
                <c:pt idx="1">
                  <c:v>82.866</c:v>
                </c:pt>
                <c:pt idx="2">
                  <c:v>82.595999999999989</c:v>
                </c:pt>
                <c:pt idx="3">
                  <c:v>82.597999999999999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3-4F2D-AA38-EFC9F476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0-pre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1-48A2-B09D-8A1C236B1502}"/>
            </c:ext>
          </c:extLst>
        </c:ser>
        <c:ser>
          <c:idx val="4"/>
          <c:order val="1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6"/>
            <c:spPr>
              <a:pattFill prst="pct25">
                <a:fgClr>
                  <a:schemeClr val="bg1"/>
                </a:fgClr>
                <a:bgClr>
                  <a:srgbClr val="1B9E77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1-48A2-B09D-8A1C236B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2"/>
                <c:tx>
                  <c:strRef>
                    <c:extLst>
                      <c:ext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89.659000000000006</c:v>
                      </c:pt>
                      <c:pt idx="1">
                        <c:v>213.20900000000003</c:v>
                      </c:pt>
                      <c:pt idx="2">
                        <c:v>293.06200000000001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82.866</c:v>
                      </c:pt>
                      <c:pt idx="1">
                        <c:v>87.195999999999998</c:v>
                      </c:pt>
                      <c:pt idx="2">
                        <c:v>81.425000000000011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A81-48A2-B09D-8A1C236B1502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91.424999999999997</c:v>
                      </c:pt>
                      <c:pt idx="1">
                        <c:v>208.52800000000002</c:v>
                      </c:pt>
                      <c:pt idx="2">
                        <c:v>293.90199999999999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82.595999999999989</c:v>
                      </c:pt>
                      <c:pt idx="1">
                        <c:v>87.132000000000005</c:v>
                      </c:pt>
                      <c:pt idx="2">
                        <c:v>81.14500000000001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81-48A2-B09D-8A1C236B1502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83.945000000000007</c:v>
                      </c:pt>
                      <c:pt idx="1">
                        <c:v>202.46800000000002</c:v>
                      </c:pt>
                      <c:pt idx="2">
                        <c:v>288.69299999999998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82.597999999999999</c:v>
                      </c:pt>
                      <c:pt idx="1">
                        <c:v>87.522000000000006</c:v>
                      </c:pt>
                      <c:pt idx="2">
                        <c:v>81.14200000000001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81-48A2-B09D-8A1C236B150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85.861000000000004</c:v>
                      </c:pt>
                      <c:pt idx="1">
                        <c:v>259.11200000000002</c:v>
                      </c:pt>
                      <c:pt idx="2">
                        <c:v>298.947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82.888000000000005</c:v>
                      </c:pt>
                      <c:pt idx="1">
                        <c:v>87.822999999999993</c:v>
                      </c:pt>
                      <c:pt idx="2">
                        <c:v>87.019000000000005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81-48A2-B09D-8A1C236B150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87.626999999999995</c:v>
                      </c:pt>
                      <c:pt idx="1">
                        <c:v>254.43100000000001</c:v>
                      </c:pt>
                      <c:pt idx="2">
                        <c:v>299.78699999999998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82.617999999999995</c:v>
                      </c:pt>
                      <c:pt idx="1">
                        <c:v>87.759</c:v>
                      </c:pt>
                      <c:pt idx="2">
                        <c:v>86.739000000000004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81-48A2-B09D-8A1C236B150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80.147000000000006</c:v>
                      </c:pt>
                      <c:pt idx="1">
                        <c:v>248.37100000000001</c:v>
                      </c:pt>
                      <c:pt idx="2">
                        <c:v>294.57799999999997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</c:v>
                      </c:pt>
                      <c:pt idx="1">
                        <c:v>88.149000000000001</c:v>
                      </c:pt>
                      <c:pt idx="2">
                        <c:v>86.736000000000004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81-48A2-B09D-8A1C236B150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1502444154106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E-4910-B985-AAE16D3CAF6C}"/>
            </c:ext>
          </c:extLst>
        </c:ser>
        <c:ser>
          <c:idx val="2"/>
          <c:order val="1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85.861000000000004</c:v>
                </c:pt>
                <c:pt idx="1">
                  <c:v>259.11200000000002</c:v>
                </c:pt>
                <c:pt idx="2">
                  <c:v>298.947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82.888000000000005</c:v>
                </c:pt>
                <c:pt idx="1">
                  <c:v>87.822999999999993</c:v>
                </c:pt>
                <c:pt idx="2">
                  <c:v>87.019000000000005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E-4910-B985-AAE16D3CAF6C}"/>
            </c:ext>
          </c:extLst>
        </c:ser>
        <c:ser>
          <c:idx val="3"/>
          <c:order val="2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87.626999999999995</c:v>
                </c:pt>
                <c:pt idx="1">
                  <c:v>254.43100000000001</c:v>
                </c:pt>
                <c:pt idx="2">
                  <c:v>299.78699999999998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82.617999999999995</c:v>
                </c:pt>
                <c:pt idx="1">
                  <c:v>87.759</c:v>
                </c:pt>
                <c:pt idx="2">
                  <c:v>86.739000000000004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E-4910-B985-AAE16D3CAF6C}"/>
            </c:ext>
          </c:extLst>
        </c:ser>
        <c:ser>
          <c:idx val="0"/>
          <c:order val="3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80.147000000000006</c:v>
                </c:pt>
                <c:pt idx="1">
                  <c:v>248.37100000000001</c:v>
                </c:pt>
                <c:pt idx="2">
                  <c:v>294.57799999999997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</c:v>
                </c:pt>
                <c:pt idx="1">
                  <c:v>88.149000000000001</c:v>
                </c:pt>
                <c:pt idx="2">
                  <c:v>86.736000000000004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7E-4910-B985-AAE16D3C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5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6F-47FE-9439-2D8C1B5875A5}"/>
                </c:ext>
              </c:extLst>
            </c:dLbl>
            <c:dLbl>
              <c:idx val="1"/>
              <c:layout>
                <c:manualLayout>
                  <c:x val="2.9169242517909741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12.158153321534783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86A-4F38-92D6-A63F8BFF675C}"/>
            </c:ext>
          </c:extLst>
        </c:ser>
        <c:ser>
          <c:idx val="10"/>
          <c:order val="1"/>
          <c:tx>
            <c:strRef>
              <c:f>'nuc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6F-47FE-9439-2D8C1B5875A5}"/>
                </c:ext>
              </c:extLst>
            </c:dLbl>
            <c:dLbl>
              <c:idx val="1"/>
              <c:layout>
                <c:manualLayout>
                  <c:x val="3.7659757435577937E-2"/>
                  <c:y val="-2.46101805534616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53526936775758"/>
                      <c:h val="6.64474874943464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21.714929079212769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A86A-4F38-92D6-A63F8BFF675C}"/>
            </c:ext>
          </c:extLst>
        </c:ser>
        <c:ser>
          <c:idx val="9"/>
          <c:order val="2"/>
          <c:tx>
            <c:strRef>
              <c:f>'nuc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6F-47FE-9439-2D8C1B5875A5}"/>
                </c:ext>
              </c:extLst>
            </c:dLbl>
            <c:dLbl>
              <c:idx val="1"/>
              <c:layout>
                <c:manualLayout>
                  <c:x val="4.178333757591185E-2"/>
                  <c:y val="-4.76207542608946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24.143133197056581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86A-4F38-92D6-A63F8BFF675C}"/>
            </c:ext>
          </c:extLst>
        </c:ser>
        <c:ser>
          <c:idx val="8"/>
          <c:order val="3"/>
          <c:tx>
            <c:strRef>
              <c:f>'nuc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6F-47FE-9439-2D8C1B5875A5}"/>
                </c:ext>
              </c:extLst>
            </c:dLbl>
            <c:dLbl>
              <c:idx val="1"/>
              <c:layout>
                <c:manualLayout>
                  <c:x val="4.6458832269225377E-2"/>
                  <c:y val="-3.9350603895217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24.70486036037963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6A-4F38-92D6-A63F8BFF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314614379236571"/>
          <c:y val="0.12853740535401165"/>
          <c:w val="0.23318072738624382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96.561999999999998</c:v>
                </c:pt>
                <c:pt idx="1">
                  <c:v>390.40600000000001</c:v>
                </c:pt>
                <c:pt idx="2">
                  <c:v>447.13099999999997</c:v>
                </c:pt>
              </c:numCache>
              <c:extLst xmlns:c15="http://schemas.microsoft.com/office/drawing/2012/chart"/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83.234999999999999</c:v>
                </c:pt>
                <c:pt idx="1">
                  <c:v>89.311000000000007</c:v>
                </c:pt>
                <c:pt idx="2">
                  <c:v>88.182000000000002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801E-4D35-B8AD-F11108691588}"/>
            </c:ext>
          </c:extLst>
        </c:ser>
        <c:ser>
          <c:idx val="6"/>
          <c:order val="3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100.36</c:v>
                </c:pt>
                <c:pt idx="1">
                  <c:v>344.50299999999999</c:v>
                </c:pt>
                <c:pt idx="2">
                  <c:v>441.24599999999998</c:v>
                </c:pt>
              </c:numCache>
              <c:extLst xmlns:c15="http://schemas.microsoft.com/office/drawing/2012/chart"/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83.212999999999994</c:v>
                </c:pt>
                <c:pt idx="1">
                  <c:v>88.684000000000012</c:v>
                </c:pt>
                <c:pt idx="2">
                  <c:v>82.588000000000008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801E-4D35-B8AD-F1110869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01E-4D35-B8AD-F11108691588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99.463000000000008</c:v>
                      </c:pt>
                      <c:pt idx="1">
                        <c:v>269.24599999999998</c:v>
                      </c:pt>
                      <c:pt idx="2">
                        <c:v>334.61799999999999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83.253999999999991</c:v>
                      </c:pt>
                      <c:pt idx="1">
                        <c:v>87.233000000000004</c:v>
                      </c:pt>
                      <c:pt idx="2">
                        <c:v>82.282000000000011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1E-4D35-B8AD-F11108691588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98.028000000000006</c:v>
                      </c:pt>
                      <c:pt idx="1">
                        <c:v>465.83499999999998</c:v>
                      </c:pt>
                      <c:pt idx="2">
                        <c:v>572.68600000000004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83.620999999999995</c:v>
                      </c:pt>
                      <c:pt idx="1">
                        <c:v>88.418000000000006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1E-4D35-B8AD-F11108691588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1E-4D35-B8AD-F11108691588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95.665000000000006</c:v>
                      </c:pt>
                      <c:pt idx="1">
                        <c:v>315.149</c:v>
                      </c:pt>
                      <c:pt idx="2">
                        <c:v>340.50299999999999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83.275999999999996</c:v>
                      </c:pt>
                      <c:pt idx="1">
                        <c:v>87.86</c:v>
                      </c:pt>
                      <c:pt idx="2">
                        <c:v>87.876000000000005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1E-4D35-B8AD-F11108691588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94.23</c:v>
                      </c:pt>
                      <c:pt idx="1">
                        <c:v>511.738</c:v>
                      </c:pt>
                      <c:pt idx="2">
                        <c:v>578.57100000000003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83.643000000000001</c:v>
                      </c:pt>
                      <c:pt idx="1">
                        <c:v>89.045000000000002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01E-4D35-B8AD-F11108691588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2.4980000000000002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0BE-4B23-9E1A-CEC52C9A5D27}"/>
            </c:ext>
          </c:extLst>
        </c:ser>
        <c:ser>
          <c:idx val="10"/>
          <c:order val="1"/>
          <c:tx>
            <c:strRef>
              <c:f>'nuc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exc'!$C$18:$C$19</c:f>
              <c:numCache>
                <c:formatCode>0.00</c:formatCode>
                <c:ptCount val="2"/>
                <c:pt idx="0">
                  <c:v>0</c:v>
                </c:pt>
                <c:pt idx="1">
                  <c:v>3.0779999999999998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0BE-4B23-9E1A-CEC52C9A5D27}"/>
            </c:ext>
          </c:extLst>
        </c:ser>
        <c:ser>
          <c:idx val="9"/>
          <c:order val="2"/>
          <c:tx>
            <c:strRef>
              <c:f>'nuc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exc'!$C$16:$C$17</c:f>
              <c:numCache>
                <c:formatCode>0.00</c:formatCode>
                <c:ptCount val="2"/>
                <c:pt idx="0">
                  <c:v>0</c:v>
                </c:pt>
                <c:pt idx="1">
                  <c:v>3.1840000000000002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0BE-4B23-9E1A-CEC52C9A5D27}"/>
            </c:ext>
          </c:extLst>
        </c:ser>
        <c:ser>
          <c:idx val="8"/>
          <c:order val="3"/>
          <c:tx>
            <c:strRef>
              <c:f>'nuc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exc'!$C$14:$C$15</c:f>
              <c:numCache>
                <c:formatCode>0.00</c:formatCode>
                <c:ptCount val="2"/>
                <c:pt idx="0">
                  <c:v>0</c:v>
                </c:pt>
                <c:pt idx="1">
                  <c:v>3.2069999999999999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BE-4B23-9E1A-CEC52C9A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28227747892844907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C-423C-BA28-65EBEBDC88EE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C-423C-BA28-65EBEBDC88E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6C-423C-BA28-65EBEBDC88EE}"/>
              </c:ext>
            </c:extLst>
          </c:dPt>
          <c:errBars>
            <c:errBarType val="both"/>
            <c:errValType val="cust"/>
            <c:noEndCap val="0"/>
            <c:plus>
              <c:numRef>
                <c:f>'nuc slope exc'!$F$2:$F$5</c:f>
                <c:numCache>
                  <c:formatCode>General</c:formatCode>
                  <c:ptCount val="4"/>
                  <c:pt idx="0">
                    <c:v>2.3634920308292102</c:v>
                  </c:pt>
                  <c:pt idx="1">
                    <c:v>3.4853049726459751</c:v>
                  </c:pt>
                  <c:pt idx="2">
                    <c:v>2.36411174597038</c:v>
                  </c:pt>
                  <c:pt idx="3">
                    <c:v>3.1532495931389501</c:v>
                  </c:pt>
                </c:numCache>
              </c:numRef>
            </c:plus>
            <c:minus>
              <c:numRef>
                <c:f>'nuc slope exc'!$F$2:$F$5</c:f>
                <c:numCache>
                  <c:formatCode>General</c:formatCode>
                  <c:ptCount val="4"/>
                  <c:pt idx="0">
                    <c:v>2.3634920308292102</c:v>
                  </c:pt>
                  <c:pt idx="1">
                    <c:v>3.4853049726459751</c:v>
                  </c:pt>
                  <c:pt idx="2">
                    <c:v>2.36411174597038</c:v>
                  </c:pt>
                  <c:pt idx="3">
                    <c:v>3.1532495931389501</c:v>
                  </c:pt>
                </c:numCache>
              </c:numRef>
            </c:minus>
          </c:errBars>
          <c:cat>
            <c:strRef>
              <c:f>'nuc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exc'!$B$2:$B$5</c:f>
              <c:numCache>
                <c:formatCode>0.00</c:formatCode>
                <c:ptCount val="4"/>
                <c:pt idx="0">
                  <c:v>3.41</c:v>
                </c:pt>
                <c:pt idx="1">
                  <c:v>3.8130000000000002</c:v>
                </c:pt>
                <c:pt idx="2">
                  <c:v>5.327</c:v>
                </c:pt>
                <c:pt idx="3">
                  <c:v>4.9210000000000003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6C-423C-BA28-65EBEBDC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89A-47CC-9A50-CA5555C20406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89A-47CC-9A50-CA5555C20406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89A-47CC-9A50-CA5555C20406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89A-47CC-9A50-CA5555C2040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'nuc slope exc'!$F$8:$F$11</c:f>
                <c:numCache>
                  <c:formatCode>General</c:formatCode>
                  <c:ptCount val="4"/>
                  <c:pt idx="0">
                    <c:v>0.71355244793377004</c:v>
                  </c:pt>
                  <c:pt idx="1">
                    <c:v>0.61157434227910024</c:v>
                  </c:pt>
                  <c:pt idx="2">
                    <c:v>0.71176576727665974</c:v>
                  </c:pt>
                  <c:pt idx="3">
                    <c:v>0.55696574260360032</c:v>
                  </c:pt>
                </c:numCache>
              </c:numRef>
            </c:plus>
            <c:minus>
              <c:numRef>
                <c:f>'nuc slope exc'!$F$8:$F$11</c:f>
                <c:numCache>
                  <c:formatCode>General</c:formatCode>
                  <c:ptCount val="4"/>
                  <c:pt idx="0">
                    <c:v>0.71355244793377004</c:v>
                  </c:pt>
                  <c:pt idx="1">
                    <c:v>0.61157434227910024</c:v>
                  </c:pt>
                  <c:pt idx="2">
                    <c:v>0.71176576727665974</c:v>
                  </c:pt>
                  <c:pt idx="3">
                    <c:v>0.55696574260360032</c:v>
                  </c:pt>
                </c:numCache>
              </c:numRef>
            </c:minus>
          </c:errBars>
          <c:cat>
            <c:strRef>
              <c:f>'nuc slope exc'!$A$8:$A$11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exc'!$B$8:$B$11</c:f>
              <c:numCache>
                <c:formatCode>0.00</c:formatCode>
                <c:ptCount val="4"/>
                <c:pt idx="0">
                  <c:v>3.2069999999999999</c:v>
                </c:pt>
                <c:pt idx="1">
                  <c:v>3.1840000000000002</c:v>
                </c:pt>
                <c:pt idx="2">
                  <c:v>3.0779999999999998</c:v>
                </c:pt>
                <c:pt idx="3">
                  <c:v>2.4980000000000002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9A-47CC-9A50-CA5555C20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Effects of</a:t>
            </a:r>
            <a:r>
              <a:rPr lang="en-US" sz="900" b="0" baseline="0"/>
              <a:t> foot size on </a:t>
            </a:r>
            <a:r>
              <a:rPr lang="en-US" sz="900" b="0"/>
              <a:t>PN tonal targets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6C5-4805-8095-47C5886D0DC7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32.523008490727989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32.523008490727989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foot'!$B$3,'pn foot'!$B$16)</c:f>
              <c:numCache>
                <c:formatCode>0</c:formatCode>
                <c:ptCount val="2"/>
                <c:pt idx="0">
                  <c:v>46.2</c:v>
                </c:pt>
                <c:pt idx="1">
                  <c:v>184.03</c:v>
                </c:pt>
              </c:numCache>
            </c:num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-0.72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5-4805-8095-47C5886D0DC7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1.14536243901205</c:v>
                  </c:pt>
                  <c:pt idx="1">
                    <c:v>1.1302750047327101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1.14536243901205</c:v>
                  </c:pt>
                  <c:pt idx="1">
                    <c:v>1.1302750047327101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34.32899009903602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34.32899009903602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foot'!$B$4,'pn foot'!$B$17)</c:f>
              <c:numCache>
                <c:formatCode>0</c:formatCode>
                <c:ptCount val="2"/>
                <c:pt idx="0">
                  <c:v>47.72</c:v>
                </c:pt>
                <c:pt idx="1">
                  <c:v>223.65</c:v>
                </c:pt>
              </c:numCache>
            </c:num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-0.97</c:v>
                </c:pt>
                <c:pt idx="1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5-4805-8095-47C5886D0DC7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43.893535616929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43.893535616929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0.59591997893684001</c:v>
                  </c:pt>
                  <c:pt idx="1">
                    <c:v>1.0049340680001297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0.59591997893684001</c:v>
                  </c:pt>
                  <c:pt idx="1">
                    <c:v>1.0049340680001297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foot'!$B$5,'pn foot'!$B$18)</c:f>
              <c:numCache>
                <c:formatCode>0</c:formatCode>
                <c:ptCount val="2"/>
                <c:pt idx="0">
                  <c:v>52.71</c:v>
                </c:pt>
                <c:pt idx="1">
                  <c:v>250.64</c:v>
                </c:pt>
              </c:numCache>
            </c:num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-0.88</c:v>
                </c:pt>
                <c:pt idx="1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5-4805-8095-47C5886D0DC7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39.996234637442996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39.996234637442996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0.62294032209055006</c:v>
                  </c:pt>
                  <c:pt idx="1">
                    <c:v>1.03200995941283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0.62294032209055006</c:v>
                  </c:pt>
                  <c:pt idx="1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foot'!$B$6,'pn foot'!$B$19)</c:f>
              <c:numCache>
                <c:formatCode>0</c:formatCode>
                <c:ptCount val="2"/>
                <c:pt idx="0">
                  <c:v>64.489999999999995</c:v>
                </c:pt>
                <c:pt idx="1">
                  <c:v>251.81</c:v>
                </c:pt>
              </c:numCache>
            </c:num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-0.78</c:v>
                </c:pt>
                <c:pt idx="1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5-4805-8095-47C5886D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3"/>
        <c:crossBetween val="midCat"/>
        <c:majorUnit val="100"/>
      </c:valAx>
      <c:valAx>
        <c:axId val="501389184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</a:t>
                </a:r>
                <a:r>
                  <a:rPr lang="en-US" sz="900" i="0" baseline="0">
                    <a:solidFill>
                      <a:sysClr val="windowText" lastClr="000000"/>
                    </a:solidFill>
                  </a:rPr>
                  <a:t>spekaer median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0855333333333334"/>
          <c:y val="0.1581397590733114"/>
          <c:w val="0.36387999999999998"/>
          <c:h val="0.24659394135702498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32.523008490727989</c:v>
                  </c:pt>
                  <c:pt idx="1">
                    <c:v>34.32899009903602</c:v>
                  </c:pt>
                  <c:pt idx="2">
                    <c:v>43.893535616929</c:v>
                  </c:pt>
                  <c:pt idx="3">
                    <c:v>39.996234637442996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32.523008490727989</c:v>
                  </c:pt>
                  <c:pt idx="1">
                    <c:v>34.32899009903602</c:v>
                  </c:pt>
                  <c:pt idx="2">
                    <c:v>43.893535616929</c:v>
                  </c:pt>
                  <c:pt idx="3">
                    <c:v>39.996234637442996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foot'!$B$16:$B$19</c:f>
              <c:numCache>
                <c:formatCode>0</c:formatCode>
                <c:ptCount val="4"/>
                <c:pt idx="0">
                  <c:v>184.03</c:v>
                </c:pt>
                <c:pt idx="1">
                  <c:v>223.65</c:v>
                </c:pt>
                <c:pt idx="2">
                  <c:v>250.64</c:v>
                </c:pt>
                <c:pt idx="3">
                  <c:v>251.81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4-42AE-9D47-1D8030F0E20B}"/>
            </c:ext>
          </c:extLst>
        </c:ser>
        <c:ser>
          <c:idx val="2"/>
          <c:order val="1"/>
          <c:tx>
            <c:strRef>
              <c:f>'pn foot'!$A$2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32.523008490727989</c:v>
                  </c:pt>
                  <c:pt idx="1">
                    <c:v>34.32899009903602</c:v>
                  </c:pt>
                  <c:pt idx="2">
                    <c:v>43.893535616929</c:v>
                  </c:pt>
                  <c:pt idx="3">
                    <c:v>39.996234637442996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32.523008490727989</c:v>
                  </c:pt>
                  <c:pt idx="1">
                    <c:v>34.32899009903602</c:v>
                  </c:pt>
                  <c:pt idx="2">
                    <c:v>43.893535616929</c:v>
                  </c:pt>
                  <c:pt idx="3">
                    <c:v>39.996234637442996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foot'!$B$3:$B$6</c:f>
              <c:numCache>
                <c:formatCode>0</c:formatCode>
                <c:ptCount val="4"/>
                <c:pt idx="0">
                  <c:v>46.2</c:v>
                </c:pt>
                <c:pt idx="1">
                  <c:v>47.72</c:v>
                </c:pt>
                <c:pt idx="2">
                  <c:v>52.71</c:v>
                </c:pt>
                <c:pt idx="3">
                  <c:v>64.489999999999995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4-42AE-9D47-1D8030F0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69074305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foot'!$B$22:$B$25</c:f>
              <c:numCache>
                <c:formatCode>0.0</c:formatCode>
                <c:ptCount val="4"/>
                <c:pt idx="0">
                  <c:v>1.5</c:v>
                </c:pt>
                <c:pt idx="1">
                  <c:v>2.2400000000000002</c:v>
                </c:pt>
                <c:pt idx="2">
                  <c:v>2.5099999999999998</c:v>
                </c:pt>
                <c:pt idx="3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8-4988-ABD7-DC1DE2CCB9BF}"/>
            </c:ext>
          </c:extLst>
        </c:ser>
        <c:ser>
          <c:idx val="2"/>
          <c:order val="1"/>
          <c:tx>
            <c:strRef>
              <c:f>'pn foot'!$A$8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foot'!$B$9:$B$12</c:f>
              <c:numCache>
                <c:formatCode>0.0</c:formatCode>
                <c:ptCount val="4"/>
                <c:pt idx="0">
                  <c:v>-0.72</c:v>
                </c:pt>
                <c:pt idx="1">
                  <c:v>-0.97</c:v>
                </c:pt>
                <c:pt idx="2">
                  <c:v>-0.88</c:v>
                </c:pt>
                <c:pt idx="3">
                  <c:v>-0.78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8-4988-ABD7-DC1DE2CCB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6.6479472698533451E-2"/>
              <c:y val="0.33223402777777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431-4797-943C-EB508094F5B1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32.523008490727989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32.523008490727989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foot'!$B$3,'pn foot'!$B$16)</c:f>
              <c:numCache>
                <c:formatCode>0</c:formatCode>
                <c:ptCount val="2"/>
                <c:pt idx="0">
                  <c:v>46.2</c:v>
                </c:pt>
                <c:pt idx="1">
                  <c:v>184.03</c:v>
                </c:pt>
              </c:numCache>
            </c:num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-0.72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1-4797-943C-EB508094F5B1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1.14536243901205</c:v>
                  </c:pt>
                  <c:pt idx="1">
                    <c:v>1.1302750047327101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1.14536243901205</c:v>
                  </c:pt>
                  <c:pt idx="1">
                    <c:v>1.1302750047327101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34.32899009903602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34.32899009903602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foot'!$B$4,'pn foot'!$B$17)</c:f>
              <c:numCache>
                <c:formatCode>0</c:formatCode>
                <c:ptCount val="2"/>
                <c:pt idx="0">
                  <c:v>47.72</c:v>
                </c:pt>
                <c:pt idx="1">
                  <c:v>223.65</c:v>
                </c:pt>
              </c:numCache>
            </c:num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-0.97</c:v>
                </c:pt>
                <c:pt idx="1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1-4797-943C-EB508094F5B1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43.893535616929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43.893535616929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0.59591997893684001</c:v>
                  </c:pt>
                  <c:pt idx="1">
                    <c:v>1.0049340680001297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0.59591997893684001</c:v>
                  </c:pt>
                  <c:pt idx="1">
                    <c:v>1.0049340680001297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foot'!$B$5,'pn foot'!$B$18)</c:f>
              <c:numCache>
                <c:formatCode>0</c:formatCode>
                <c:ptCount val="2"/>
                <c:pt idx="0">
                  <c:v>52.71</c:v>
                </c:pt>
                <c:pt idx="1">
                  <c:v>250.64</c:v>
                </c:pt>
              </c:numCache>
            </c:num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-0.88</c:v>
                </c:pt>
                <c:pt idx="1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1-4797-943C-EB508094F5B1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39.996234637442996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39.996234637442996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0.62294032209055006</c:v>
                  </c:pt>
                  <c:pt idx="1">
                    <c:v>1.03200995941283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0.62294032209055006</c:v>
                  </c:pt>
                  <c:pt idx="1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foot'!$B$6,'pn foot'!$B$19)</c:f>
              <c:numCache>
                <c:formatCode>0</c:formatCode>
                <c:ptCount val="2"/>
                <c:pt idx="0">
                  <c:v>64.489999999999995</c:v>
                </c:pt>
                <c:pt idx="1">
                  <c:v>251.81</c:v>
                </c:pt>
              </c:numCache>
            </c:num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-0.78</c:v>
                </c:pt>
                <c:pt idx="1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31-4797-943C-EB508094F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3"/>
        <c:crossBetween val="midCat"/>
        <c:majorUnit val="100"/>
      </c:valAx>
      <c:valAx>
        <c:axId val="501389184"/>
        <c:scaling>
          <c:orientation val="minMax"/>
          <c:max val="4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</a:t>
                </a:r>
                <a:r>
                  <a:rPr lang="en-US" sz="900" i="0" baseline="0">
                    <a:solidFill>
                      <a:sysClr val="windowText" lastClr="000000"/>
                    </a:solidFill>
                  </a:rPr>
                  <a:t>spekaer median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1899777777777778"/>
          <c:y val="0.52024843124269604"/>
          <c:w val="0.36387999999999998"/>
          <c:h val="0.24659394135702498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PN tonal targets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ana'!$A$3</c:f>
              <c:strCache>
                <c:ptCount val="1"/>
                <c:pt idx="0">
                  <c:v>ana_0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63C-46ED-97D2-058F4FF258AC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32.523050319513999</c:v>
                  </c:pt>
                </c:numCache>
              </c:numRef>
            </c:plus>
            <c:min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32.523050319513999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plus>
            <c:min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ana'!$B$3,'pn ana'!$B$16)</c:f>
              <c:numCache>
                <c:formatCode>0</c:formatCode>
                <c:ptCount val="2"/>
                <c:pt idx="0">
                  <c:v>46.2</c:v>
                </c:pt>
                <c:pt idx="1">
                  <c:v>184.03</c:v>
                </c:pt>
              </c:numCache>
            </c:numRef>
          </c:xVal>
          <c:yVal>
            <c:numRef>
              <c:f>('pn ana'!$B$9,'pn ana'!$B$22)</c:f>
              <c:numCache>
                <c:formatCode>0.0</c:formatCode>
                <c:ptCount val="2"/>
                <c:pt idx="0">
                  <c:v>-0.72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C-46ED-97D2-058F4FF258AC}"/>
            </c:ext>
          </c:extLst>
        </c:ser>
        <c:ser>
          <c:idx val="2"/>
          <c:order val="1"/>
          <c:tx>
            <c:strRef>
              <c:f>'pn ana'!$A$4</c:f>
              <c:strCache>
                <c:ptCount val="1"/>
                <c:pt idx="0">
                  <c:v>ana_1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1.067070060180545</c:v>
                  </c:pt>
                  <c:pt idx="1">
                    <c:v>1.7759811698808627</c:v>
                  </c:pt>
                </c:numCache>
              </c:numRef>
            </c:plus>
            <c:min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1.067070060180545</c:v>
                  </c:pt>
                  <c:pt idx="1">
                    <c:v>1.7759811698808627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96.232645765229094</c:v>
                  </c:pt>
                  <c:pt idx="1">
                    <c:v>55.871600420300609</c:v>
                  </c:pt>
                </c:numCache>
              </c:numRef>
            </c:plus>
            <c:min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96.232645765229094</c:v>
                  </c:pt>
                  <c:pt idx="1">
                    <c:v>55.871600420300609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ana'!$B$4,'pn ana'!$B$17)</c:f>
              <c:numCache>
                <c:formatCode>0</c:formatCode>
                <c:ptCount val="2"/>
                <c:pt idx="0">
                  <c:v>13.69</c:v>
                </c:pt>
                <c:pt idx="1">
                  <c:v>146.68</c:v>
                </c:pt>
              </c:numCache>
            </c:numRef>
          </c:xVal>
          <c:yVal>
            <c:numRef>
              <c:f>('pn ana'!$B$10,'pn ana'!$B$23)</c:f>
              <c:numCache>
                <c:formatCode>0.0</c:formatCode>
                <c:ptCount val="2"/>
                <c:pt idx="0">
                  <c:v>0.16</c:v>
                </c:pt>
                <c:pt idx="1">
                  <c:v>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C-46ED-97D2-058F4FF258AC}"/>
            </c:ext>
          </c:extLst>
        </c:ser>
        <c:ser>
          <c:idx val="3"/>
          <c:order val="2"/>
          <c:tx>
            <c:strRef>
              <c:f>'pn ana'!$A$5</c:f>
              <c:strCache>
                <c:ptCount val="1"/>
                <c:pt idx="0">
                  <c:v>ana_2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96.168894014132306</c:v>
                  </c:pt>
                  <c:pt idx="1">
                    <c:v>56.526610306574014</c:v>
                  </c:pt>
                </c:numCache>
              </c:numRef>
            </c:plus>
            <c:min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96.168894014132306</c:v>
                  </c:pt>
                  <c:pt idx="1">
                    <c:v>56.526610306574014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1.1448704520998101</c:v>
                  </c:pt>
                  <c:pt idx="1">
                    <c:v>1.7796678318673669</c:v>
                  </c:pt>
                </c:numCache>
              </c:numRef>
            </c:plus>
            <c:min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1.1448704520998101</c:v>
                  </c:pt>
                  <c:pt idx="1">
                    <c:v>1.7796678318673669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ana'!$B$5,'pn ana'!$B$18)</c:f>
              <c:numCache>
                <c:formatCode>0</c:formatCode>
                <c:ptCount val="2"/>
                <c:pt idx="0">
                  <c:v>15.11</c:v>
                </c:pt>
                <c:pt idx="1">
                  <c:v>184.81</c:v>
                </c:pt>
              </c:numCache>
            </c:numRef>
          </c:xVal>
          <c:yVal>
            <c:numRef>
              <c:f>('pn ana'!$B$11,'pn ana'!$B$24)</c:f>
              <c:numCache>
                <c:formatCode>0.0</c:formatCode>
                <c:ptCount val="2"/>
                <c:pt idx="0">
                  <c:v>-0.52</c:v>
                </c:pt>
                <c:pt idx="1">
                  <c:v>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C-46ED-97D2-058F4FF258AC}"/>
            </c:ext>
          </c:extLst>
        </c:ser>
        <c:ser>
          <c:idx val="0"/>
          <c:order val="3"/>
          <c:tx>
            <c:strRef>
              <c:f>'pn ana'!$A$6</c:f>
              <c:strCache>
                <c:ptCount val="1"/>
                <c:pt idx="0">
                  <c:v>ana_3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96.1658297226451</c:v>
                  </c:pt>
                  <c:pt idx="1">
                    <c:v>56.526598636073004</c:v>
                  </c:pt>
                </c:numCache>
              </c:numRef>
            </c:plus>
            <c:min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96.1658297226451</c:v>
                  </c:pt>
                  <c:pt idx="1">
                    <c:v>56.526598636073004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1.1417816410698101</c:v>
                  </c:pt>
                  <c:pt idx="1">
                    <c:v>1.7766369928528789</c:v>
                  </c:pt>
                </c:numCache>
              </c:numRef>
            </c:plus>
            <c:min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1.1417816410698101</c:v>
                  </c:pt>
                  <c:pt idx="1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ana'!$B$6,'pn ana'!$B$19)</c:f>
              <c:numCache>
                <c:formatCode>0</c:formatCode>
                <c:ptCount val="2"/>
                <c:pt idx="0">
                  <c:v>25.6</c:v>
                </c:pt>
                <c:pt idx="1">
                  <c:v>196.31</c:v>
                </c:pt>
              </c:numCache>
            </c:numRef>
          </c:xVal>
          <c:yVal>
            <c:numRef>
              <c:f>('pn ana'!$B$12,'pn ana'!$B$25)</c:f>
              <c:numCache>
                <c:formatCode>0.0</c:formatCode>
                <c:ptCount val="2"/>
                <c:pt idx="0">
                  <c:v>-0.65</c:v>
                </c:pt>
                <c:pt idx="1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3C-46ED-97D2-058F4FF2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4"/>
        <c:crossBetween val="midCat"/>
        <c:majorUnit val="100"/>
        <c:minorUnit val="2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10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0144518518518519"/>
          <c:y val="0.55971000000000004"/>
          <c:w val="0.2886206004140786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32.523050319513999</c:v>
                  </c:pt>
                  <c:pt idx="1">
                    <c:v>55.871600420300609</c:v>
                  </c:pt>
                  <c:pt idx="2">
                    <c:v>56.526610306574014</c:v>
                  </c:pt>
                  <c:pt idx="3">
                    <c:v>56.526598636073004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32.523050319513999</c:v>
                  </c:pt>
                  <c:pt idx="1">
                    <c:v>55.871600420300609</c:v>
                  </c:pt>
                  <c:pt idx="2">
                    <c:v>56.526610306574014</c:v>
                  </c:pt>
                  <c:pt idx="3">
                    <c:v>56.526598636073004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ana'!$B$16:$B$19</c:f>
              <c:numCache>
                <c:formatCode>0</c:formatCode>
                <c:ptCount val="4"/>
                <c:pt idx="0">
                  <c:v>184.03</c:v>
                </c:pt>
                <c:pt idx="1">
                  <c:v>146.68</c:v>
                </c:pt>
                <c:pt idx="2">
                  <c:v>184.81</c:v>
                </c:pt>
                <c:pt idx="3">
                  <c:v>196.31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3-4AA9-B109-D996ABD7E104}"/>
            </c:ext>
          </c:extLst>
        </c:ser>
        <c:ser>
          <c:idx val="2"/>
          <c:order val="1"/>
          <c:tx>
            <c:strRef>
              <c:f>'pn ana'!$A$2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32.523050319513999</c:v>
                  </c:pt>
                  <c:pt idx="1">
                    <c:v>55.871600420300609</c:v>
                  </c:pt>
                  <c:pt idx="2">
                    <c:v>56.526610306574014</c:v>
                  </c:pt>
                  <c:pt idx="3">
                    <c:v>56.526598636073004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32.523050319513999</c:v>
                  </c:pt>
                  <c:pt idx="1">
                    <c:v>55.871600420300609</c:v>
                  </c:pt>
                  <c:pt idx="2">
                    <c:v>56.526610306574014</c:v>
                  </c:pt>
                  <c:pt idx="3">
                    <c:v>56.526598636073004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ana'!$B$3:$B$6</c:f>
              <c:numCache>
                <c:formatCode>0</c:formatCode>
                <c:ptCount val="4"/>
                <c:pt idx="0">
                  <c:v>46.2</c:v>
                </c:pt>
                <c:pt idx="1">
                  <c:v>13.69</c:v>
                </c:pt>
                <c:pt idx="2">
                  <c:v>15.11</c:v>
                </c:pt>
                <c:pt idx="3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3-4AA9-B109-D996ABD7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9553263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Estimated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ana'!$B$22:$B$25</c:f>
              <c:numCache>
                <c:formatCode>0.0</c:formatCode>
                <c:ptCount val="4"/>
                <c:pt idx="0">
                  <c:v>1.5</c:v>
                </c:pt>
                <c:pt idx="1">
                  <c:v>1.79</c:v>
                </c:pt>
                <c:pt idx="2">
                  <c:v>1.87</c:v>
                </c:pt>
                <c:pt idx="3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4-43C1-9BDD-255F356E465B}"/>
            </c:ext>
          </c:extLst>
        </c:ser>
        <c:ser>
          <c:idx val="2"/>
          <c:order val="1"/>
          <c:tx>
            <c:strRef>
              <c:f>'pn ana'!$A$8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ana'!$B$9:$B$12</c:f>
              <c:numCache>
                <c:formatCode>0.0</c:formatCode>
                <c:ptCount val="4"/>
                <c:pt idx="0">
                  <c:v>-0.72</c:v>
                </c:pt>
                <c:pt idx="1">
                  <c:v>0.16</c:v>
                </c:pt>
                <c:pt idx="2">
                  <c:v>-0.52</c:v>
                </c:pt>
                <c:pt idx="3">
                  <c:v>-0.65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4-43C1-9BDD-255F356E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2"/>
          <c:min val="82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7.0512091824325135E-2"/>
              <c:y val="0.31459513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511.738</c:v>
                </c:pt>
                <c:pt idx="2">
                  <c:v>578.57100000000003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89.045000000000002</c:v>
                </c:pt>
                <c:pt idx="2">
                  <c:v>87.86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60A-418C-A525-C2C59636E9F7}"/>
            </c:ext>
          </c:extLst>
        </c:ser>
        <c:ser>
          <c:idx val="7"/>
          <c:order val="4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98.028000000000006</c:v>
                </c:pt>
                <c:pt idx="1">
                  <c:v>465.83499999999998</c:v>
                </c:pt>
                <c:pt idx="2">
                  <c:v>572.68600000000004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83.620999999999995</c:v>
                </c:pt>
                <c:pt idx="1">
                  <c:v>88.418000000000006</c:v>
                </c:pt>
                <c:pt idx="2">
                  <c:v>82.266000000000005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D60A-418C-A525-C2C59636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60A-418C-A525-C2C59636E9F7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99.463000000000008</c:v>
                      </c:pt>
                      <c:pt idx="1">
                        <c:v>269.24599999999998</c:v>
                      </c:pt>
                      <c:pt idx="2">
                        <c:v>334.61799999999999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83.253999999999991</c:v>
                      </c:pt>
                      <c:pt idx="1">
                        <c:v>87.233000000000004</c:v>
                      </c:pt>
                      <c:pt idx="2">
                        <c:v>82.282000000000011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A-418C-A525-C2C59636E9F7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100.36</c:v>
                      </c:pt>
                      <c:pt idx="1">
                        <c:v>344.50299999999999</c:v>
                      </c:pt>
                      <c:pt idx="2">
                        <c:v>441.24599999999998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83.212999999999994</c:v>
                      </c:pt>
                      <c:pt idx="1">
                        <c:v>88.684000000000012</c:v>
                      </c:pt>
                      <c:pt idx="2">
                        <c:v>82.588000000000008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A-418C-A525-C2C59636E9F7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A-418C-A525-C2C59636E9F7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95.665000000000006</c:v>
                      </c:pt>
                      <c:pt idx="1">
                        <c:v>315.149</c:v>
                      </c:pt>
                      <c:pt idx="2">
                        <c:v>340.50299999999999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83.275999999999996</c:v>
                      </c:pt>
                      <c:pt idx="1">
                        <c:v>87.86</c:v>
                      </c:pt>
                      <c:pt idx="2">
                        <c:v>87.876000000000005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A-418C-A525-C2C59636E9F7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96.561999999999998</c:v>
                      </c:pt>
                      <c:pt idx="1">
                        <c:v>390.40600000000001</c:v>
                      </c:pt>
                      <c:pt idx="2">
                        <c:v>447.13099999999997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83.234999999999999</c:v>
                      </c:pt>
                      <c:pt idx="1">
                        <c:v>89.311000000000007</c:v>
                      </c:pt>
                      <c:pt idx="2">
                        <c:v>88.182000000000002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0A-418C-A525-C2C59636E9F7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58-43DB-A30E-F6CB6FA46978}"/>
                </c:ext>
              </c:extLst>
            </c:dLbl>
            <c:dLbl>
              <c:idx val="1"/>
              <c:layout>
                <c:manualLayout>
                  <c:x val="3.7309700897940994E-2"/>
                  <c:y val="-2.9619747414658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15.958634009794029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F58-43DB-A30E-F6CB6FA46978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8-43DB-A30E-F6CB6FA46978}"/>
                </c:ext>
              </c:extLst>
            </c:dLbl>
            <c:dLbl>
              <c:idx val="1"/>
              <c:layout>
                <c:manualLayout>
                  <c:x val="3.3634244834345219E-2"/>
                  <c:y val="7.375536274205840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53526936775758"/>
                      <c:h val="6.64474874943464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18.17414536944306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4F58-43DB-A30E-F6CB6FA46978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58-43DB-A30E-F6CB6FA46978}"/>
                </c:ext>
              </c:extLst>
            </c:dLbl>
            <c:dLbl>
              <c:idx val="1"/>
              <c:layout>
                <c:manualLayout>
                  <c:x val="3.7659757435577937E-2"/>
                  <c:y val="4.922036110692328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15.332887019907195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4F58-43DB-A30E-F6CB6FA46978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syls0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58-43DB-A30E-F6CB6FA46978}"/>
                </c:ext>
              </c:extLst>
            </c:dLbl>
            <c:dLbl>
              <c:idx val="1"/>
              <c:layout>
                <c:manualLayout>
                  <c:x val="3.8211730200932777E-2"/>
                  <c:y val="-3.9350652430039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14.439969192802881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F58-43DB-A30E-F6CB6FA4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314614379236571"/>
          <c:y val="0.12853740535401165"/>
          <c:w val="0.23318072738624382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2.77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7D5-407D-9EB2-AA89F9CDEE28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exc'!$C$18:$C$19</c:f>
              <c:numCache>
                <c:formatCode>0.00</c:formatCode>
                <c:ptCount val="2"/>
                <c:pt idx="0">
                  <c:v>0</c:v>
                </c:pt>
                <c:pt idx="1">
                  <c:v>2.9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77D5-407D-9EB2-AA89F9CDEE28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exc'!$C$16:$C$17</c:f>
              <c:numCache>
                <c:formatCode>0.00</c:formatCode>
                <c:ptCount val="2"/>
                <c:pt idx="0">
                  <c:v>0</c:v>
                </c:pt>
                <c:pt idx="1">
                  <c:v>2.73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77D5-407D-9EB2-AA89F9CDEE28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syls0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exc'!$C$14:$C$15</c:f>
              <c:numCache>
                <c:formatCode>0.00</c:formatCode>
                <c:ptCount val="2"/>
                <c:pt idx="0">
                  <c:v>0</c:v>
                </c:pt>
                <c:pt idx="1">
                  <c:v>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D5-407D-9EB2-AA89F9CD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28227747892844907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83-46D9-BB56-2099DA7B7A22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83-46D9-BB56-2099DA7B7A22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83-46D9-BB56-2099DA7B7A22}"/>
              </c:ext>
            </c:extLst>
          </c:dPt>
          <c:errBars>
            <c:errBarType val="both"/>
            <c:errValType val="cust"/>
            <c:noEndCap val="0"/>
            <c:plus>
              <c:numRef>
                <c:f>'pn slope exc'!$F$2:$F$5</c:f>
                <c:numCache>
                  <c:formatCode>General</c:formatCode>
                  <c:ptCount val="4"/>
                  <c:pt idx="0">
                    <c:v>1.0306245130913101</c:v>
                  </c:pt>
                  <c:pt idx="1">
                    <c:v>2.1528372421283346</c:v>
                  </c:pt>
                  <c:pt idx="2">
                    <c:v>2.14725350680003</c:v>
                  </c:pt>
                  <c:pt idx="3">
                    <c:v>2.1431796435623323</c:v>
                  </c:pt>
                </c:numCache>
              </c:numRef>
            </c:plus>
            <c:minus>
              <c:numRef>
                <c:f>'pn slope exc'!$F$2:$F$5</c:f>
                <c:numCache>
                  <c:formatCode>General</c:formatCode>
                  <c:ptCount val="4"/>
                  <c:pt idx="0">
                    <c:v>1.0306245130913101</c:v>
                  </c:pt>
                  <c:pt idx="1">
                    <c:v>2.1528372421283346</c:v>
                  </c:pt>
                  <c:pt idx="2">
                    <c:v>2.14725350680003</c:v>
                  </c:pt>
                  <c:pt idx="3">
                    <c:v>2.1431796435623323</c:v>
                  </c:pt>
                </c:numCache>
              </c:numRef>
            </c:minus>
          </c:errBars>
          <c:cat>
            <c:strRef>
              <c:f>'pn slope exc'!$A$2:$A$5</c:f>
              <c:strCache>
                <c:ptCount val="4"/>
                <c:pt idx="0">
                  <c:v>syls0</c:v>
                </c:pt>
                <c:pt idx="1">
                  <c:v>syls1</c:v>
                </c:pt>
                <c:pt idx="2">
                  <c:v>syls2</c:v>
                </c:pt>
                <c:pt idx="3">
                  <c:v>syls3</c:v>
                </c:pt>
              </c:strCache>
            </c:strRef>
          </c:cat>
          <c:val>
            <c:numRef>
              <c:f>'pn slope exc'!$B$2:$B$5</c:f>
              <c:numCache>
                <c:formatCode>0.00</c:formatCode>
                <c:ptCount val="4"/>
                <c:pt idx="0">
                  <c:v>2.25</c:v>
                </c:pt>
                <c:pt idx="1">
                  <c:v>2.19</c:v>
                </c:pt>
                <c:pt idx="2">
                  <c:v>3.25</c:v>
                </c:pt>
                <c:pt idx="3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83-46D9-BB56-2099DA7B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50-4CF9-B470-8866AF3301CD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250-4CF9-B470-8866AF3301CD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50-4CF9-B470-8866AF3301CD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250-4CF9-B470-8866AF3301C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'pn slope exc'!$F$8:$F$11</c:f>
                <c:numCache>
                  <c:formatCode>General</c:formatCode>
                  <c:ptCount val="4"/>
                  <c:pt idx="0">
                    <c:v>0.42554607282795009</c:v>
                  </c:pt>
                  <c:pt idx="1">
                    <c:v>0.93827991702499003</c:v>
                  </c:pt>
                  <c:pt idx="2">
                    <c:v>0.91107570000120996</c:v>
                  </c:pt>
                  <c:pt idx="3">
                    <c:v>0.91586236385601993</c:v>
                  </c:pt>
                </c:numCache>
              </c:numRef>
            </c:plus>
            <c:minus>
              <c:numRef>
                <c:f>'pn slope exc'!$F$8:$F$11</c:f>
                <c:numCache>
                  <c:formatCode>General</c:formatCode>
                  <c:ptCount val="4"/>
                  <c:pt idx="0">
                    <c:v>0.42554607282795009</c:v>
                  </c:pt>
                  <c:pt idx="1">
                    <c:v>0.93827991702499003</c:v>
                  </c:pt>
                  <c:pt idx="2">
                    <c:v>0.91107570000120996</c:v>
                  </c:pt>
                  <c:pt idx="3">
                    <c:v>0.91586236385601993</c:v>
                  </c:pt>
                </c:numCache>
              </c:numRef>
            </c:minus>
          </c:errBars>
          <c:cat>
            <c:strRef>
              <c:f>'pn slope exc'!$A$8:$A$11</c:f>
              <c:strCache>
                <c:ptCount val="4"/>
                <c:pt idx="0">
                  <c:v>syls0</c:v>
                </c:pt>
                <c:pt idx="1">
                  <c:v>syls1</c:v>
                </c:pt>
                <c:pt idx="2">
                  <c:v>syls2</c:v>
                </c:pt>
                <c:pt idx="3">
                  <c:v>syls3</c:v>
                </c:pt>
              </c:strCache>
            </c:strRef>
          </c:cat>
          <c:val>
            <c:numRef>
              <c:f>'pn slope exc'!$B$8:$B$11</c:f>
              <c:numCache>
                <c:formatCode>0.00</c:formatCode>
                <c:ptCount val="4"/>
                <c:pt idx="0">
                  <c:v>2.67</c:v>
                </c:pt>
                <c:pt idx="1">
                  <c:v>2.73</c:v>
                </c:pt>
                <c:pt idx="2">
                  <c:v>2.9</c:v>
                </c:pt>
                <c:pt idx="3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0-4CF9-B470-8866AF33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BC-488D-A419-BB9046F220AF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BC-488D-A419-BB9046F220A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BC-488D-A419-BB9046F220AF}"/>
              </c:ext>
            </c:extLst>
          </c:dPt>
          <c:cat>
            <c:strRef>
              <c:f>'pn slope exc'!$A$2:$A$5</c:f>
              <c:strCache>
                <c:ptCount val="4"/>
                <c:pt idx="0">
                  <c:v>syls0</c:v>
                </c:pt>
                <c:pt idx="1">
                  <c:v>syls1</c:v>
                </c:pt>
                <c:pt idx="2">
                  <c:v>syls2</c:v>
                </c:pt>
                <c:pt idx="3">
                  <c:v>syls3</c:v>
                </c:pt>
              </c:strCache>
            </c:strRef>
          </c:cat>
          <c:val>
            <c:numRef>
              <c:f>'pn slope exc'!$B$2:$B$5</c:f>
              <c:numCache>
                <c:formatCode>0.00</c:formatCode>
                <c:ptCount val="4"/>
                <c:pt idx="0">
                  <c:v>2.25</c:v>
                </c:pt>
                <c:pt idx="1">
                  <c:v>2.19</c:v>
                </c:pt>
                <c:pt idx="2">
                  <c:v>3.25</c:v>
                </c:pt>
                <c:pt idx="3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BC-488D-A419-BB9046F2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799-4860-88A1-D64AC645C3C6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799-4860-88A1-D64AC645C3C6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99-4860-88A1-D64AC645C3C6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99-4860-88A1-D64AC645C3C6}"/>
              </c:ext>
            </c:extLst>
          </c:dPt>
          <c:cat>
            <c:strRef>
              <c:f>'pn slope exc'!$A$8:$A$11</c:f>
              <c:strCache>
                <c:ptCount val="4"/>
                <c:pt idx="0">
                  <c:v>syls0</c:v>
                </c:pt>
                <c:pt idx="1">
                  <c:v>syls1</c:v>
                </c:pt>
                <c:pt idx="2">
                  <c:v>syls2</c:v>
                </c:pt>
                <c:pt idx="3">
                  <c:v>syls3</c:v>
                </c:pt>
              </c:strCache>
            </c:strRef>
          </c:cat>
          <c:val>
            <c:numRef>
              <c:f>'pn slope exc'!$B$8:$B$11</c:f>
              <c:numCache>
                <c:formatCode>0.00</c:formatCode>
                <c:ptCount val="4"/>
                <c:pt idx="0">
                  <c:v>2.67</c:v>
                </c:pt>
                <c:pt idx="1">
                  <c:v>2.73</c:v>
                </c:pt>
                <c:pt idx="2">
                  <c:v>2.9</c:v>
                </c:pt>
                <c:pt idx="3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9-4860-88A1-D64AC645C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 sz="1000"/>
              <a:t>Prenuclear pitch</a:t>
            </a:r>
            <a:r>
              <a:rPr lang="en-IE" sz="1000" baseline="0"/>
              <a:t> accent counts per target phrase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'PN Word Boundaries'!$A$2</c:f>
              <c:strCache>
                <c:ptCount val="1"/>
                <c:pt idx="0">
                  <c:v>Val’s is in-</c:v>
                </c:pt>
              </c:strCache>
            </c:strRef>
          </c:tx>
          <c:spPr>
            <a:solidFill>
              <a:srgbClr val="7570B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Boundaries'!$E$2:$H$2</c15:sqref>
                  </c15:fullRef>
                </c:ext>
              </c:extLst>
              <c:f>'PN Word Boundaries'!$F$2:$H$2</c:f>
              <c:numCache>
                <c:formatCode>General</c:formatCode>
                <c:ptCount val="3"/>
                <c:pt idx="0">
                  <c:v>35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C-4CB6-AFDE-41B17C2430C4}"/>
            </c:ext>
          </c:extLst>
        </c:ser>
        <c:ser>
          <c:idx val="1"/>
          <c:order val="1"/>
          <c:tx>
            <c:strRef>
              <c:f>'PN Word Boundaries'!$A$3</c:f>
              <c:strCache>
                <c:ptCount val="1"/>
                <c:pt idx="0">
                  <c:v>Lally’s is</c:v>
                </c:pt>
              </c:strCache>
            </c:strRef>
          </c:tx>
          <c:spPr>
            <a:solidFill>
              <a:srgbClr val="8DA0C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Boundaries'!$E$3:$H$3</c15:sqref>
                  </c15:fullRef>
                </c:ext>
              </c:extLst>
              <c:f>'PN Word Boundaries'!$F$3:$H$3</c:f>
              <c:numCache>
                <c:formatCode>General</c:formatCode>
                <c:ptCount val="3"/>
                <c:pt idx="0">
                  <c:v>46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C-4CB6-AFDE-41B17C2430C4}"/>
            </c:ext>
          </c:extLst>
        </c:ser>
        <c:ser>
          <c:idx val="4"/>
          <c:order val="4"/>
          <c:tx>
            <c:strRef>
              <c:f>'PN Word Boundaries'!$A$6</c:f>
              <c:strCache>
                <c:ptCount val="1"/>
                <c:pt idx="0">
                  <c:v>Elaine was a</c:v>
                </c:pt>
              </c:strCache>
            </c:strRef>
          </c:tx>
          <c:spPr>
            <a:solidFill>
              <a:srgbClr val="1B9E77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Boundaries'!$E$6:$H$6</c15:sqref>
                  </c15:fullRef>
                </c:ext>
              </c:extLst>
              <c:f>'PN Word Boundaries'!$F$6:$H$6</c:f>
              <c:numCache>
                <c:formatCode>General</c:formatCode>
                <c:ptCount val="3"/>
                <c:pt idx="0">
                  <c:v>35</c:v>
                </c:pt>
                <c:pt idx="1">
                  <c:v>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1C-4CB6-AFDE-41B17C2430C4}"/>
            </c:ext>
          </c:extLst>
        </c:ser>
        <c:ser>
          <c:idx val="5"/>
          <c:order val="5"/>
          <c:tx>
            <c:strRef>
              <c:f>'PN Word Boundaries'!$A$7</c:f>
              <c:strCache>
                <c:ptCount val="1"/>
                <c:pt idx="0">
                  <c:v>Elaina’s a</c:v>
                </c:pt>
              </c:strCache>
            </c:strRef>
          </c:tx>
          <c:spPr>
            <a:solidFill>
              <a:srgbClr val="66C2A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Boundaries'!$E$7:$H$7</c15:sqref>
                  </c15:fullRef>
                </c:ext>
              </c:extLst>
              <c:f>'PN Word Boundaries'!$F$7:$H$7</c:f>
              <c:numCache>
                <c:formatCode>General</c:formatCode>
                <c:ptCount val="3"/>
                <c:pt idx="0">
                  <c:v>51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1C-4CB6-AFDE-41B17C24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05647"/>
        <c:axId val="188928484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'PN Word Boundaries'!$A$4</c15:sqref>
                        </c15:formulaRef>
                      </c:ext>
                    </c:extLst>
                    <c:strCache>
                      <c:ptCount val="1"/>
                      <c:pt idx="0">
                        <c:v>Lally’s is in-</c:v>
                      </c:pt>
                    </c:strCache>
                  </c:strRef>
                </c:tx>
                <c:spPr>
                  <a:solidFill>
                    <a:srgbClr val="D95F0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'PN Word Boundaries'!$E$4:$H$4</c15:sqref>
                        </c15:fullRef>
                        <c15:formulaRef>
                          <c15:sqref>'PN Word Boundaries'!$F$4:$H$4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48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D1C-4CB6-AFDE-41B17C2430C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Boundaries'!$A$5</c15:sqref>
                        </c15:formulaRef>
                      </c:ext>
                    </c:extLst>
                    <c:strCache>
                      <c:ptCount val="1"/>
                      <c:pt idx="0">
                        <c:v>Valerie’s is</c:v>
                      </c:pt>
                    </c:strCache>
                  </c:strRef>
                </c:tx>
                <c:spPr>
                  <a:solidFill>
                    <a:srgbClr val="FC8D6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Boundaries'!$E$5:$H$5</c15:sqref>
                        </c15:fullRef>
                        <c15:formulaRef>
                          <c15:sqref>'PN Word Boundaries'!$F$5:$H$5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1C-4CB6-AFDE-41B17C2430C4}"/>
                  </c:ext>
                </c:extLst>
              </c15:ser>
            </c15:filteredBarSeries>
          </c:ext>
        </c:extLst>
      </c:barChart>
      <c:catAx>
        <c:axId val="18893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284847"/>
        <c:crosses val="autoZero"/>
        <c:auto val="1"/>
        <c:lblAlgn val="ctr"/>
        <c:lblOffset val="100"/>
        <c:noMultiLvlLbl val="0"/>
      </c:catAx>
      <c:valAx>
        <c:axId val="1889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3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847922134733156"/>
          <c:y val="0.18287037037037041"/>
          <c:w val="0.20207633420822393"/>
          <c:h val="0.3159857101195683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 sz="1000"/>
              <a:t>Prenuclear pitch</a:t>
            </a:r>
            <a:r>
              <a:rPr lang="en-IE" sz="1000" baseline="0"/>
              <a:t> accent counts per target phrase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'PN Word Boundaries'!$A$3</c:f>
              <c:strCache>
                <c:ptCount val="1"/>
                <c:pt idx="0">
                  <c:v>Lally’s is</c:v>
                </c:pt>
              </c:strCache>
            </c:strRef>
          </c:tx>
          <c:spPr>
            <a:solidFill>
              <a:srgbClr val="8DA0C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Boundaries'!$E$3:$H$3</c15:sqref>
                  </c15:fullRef>
                </c:ext>
              </c:extLst>
              <c:f>'PN Word Boundaries'!$F$3:$H$3</c:f>
              <c:numCache>
                <c:formatCode>General</c:formatCode>
                <c:ptCount val="3"/>
                <c:pt idx="0">
                  <c:v>46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8-4847-BEB1-DE5B257B3296}"/>
            </c:ext>
          </c:extLst>
        </c:ser>
        <c:ser>
          <c:idx val="2"/>
          <c:order val="2"/>
          <c:tx>
            <c:strRef>
              <c:f>'PN Word Boundaries'!$A$4</c:f>
              <c:strCache>
                <c:ptCount val="1"/>
                <c:pt idx="0">
                  <c:v>Lally’s is in-</c:v>
                </c:pt>
              </c:strCache>
            </c:strRef>
          </c:tx>
          <c:spPr>
            <a:solidFill>
              <a:srgbClr val="D95F0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Boundaries'!$E$4:$H$4</c15:sqref>
                  </c15:fullRef>
                </c:ext>
              </c:extLst>
              <c:f>'PN Word Boundaries'!$F$4:$H$4</c:f>
              <c:numCache>
                <c:formatCode>General</c:formatCode>
                <c:ptCount val="3"/>
                <c:pt idx="0">
                  <c:v>48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8-4847-BEB1-DE5B257B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05647"/>
        <c:axId val="1889284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'PN Word Boundaries'!$A$2</c15:sqref>
                        </c15:formulaRef>
                      </c:ext>
                    </c:extLst>
                    <c:strCache>
                      <c:ptCount val="1"/>
                      <c:pt idx="0">
                        <c:v>Val’s is in-</c:v>
                      </c:pt>
                    </c:strCache>
                  </c:strRef>
                </c:tx>
                <c:spPr>
                  <a:solidFill>
                    <a:srgbClr val="7570B3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'PN Word Boundaries'!$E$2:$H$2</c15:sqref>
                        </c15:fullRef>
                        <c15:formulaRef>
                          <c15:sqref>'PN Word Boundaries'!$F$2:$H$2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6</c:v>
                      </c:pt>
                      <c:pt idx="2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688-4847-BEB1-DE5B257B329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Boundaries'!$A$5</c15:sqref>
                        </c15:formulaRef>
                      </c:ext>
                    </c:extLst>
                    <c:strCache>
                      <c:ptCount val="1"/>
                      <c:pt idx="0">
                        <c:v>Valerie’s is</c:v>
                      </c:pt>
                    </c:strCache>
                  </c:strRef>
                </c:tx>
                <c:spPr>
                  <a:solidFill>
                    <a:srgbClr val="FC8D6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Boundaries'!$E$5:$H$5</c15:sqref>
                        </c15:fullRef>
                        <c15:formulaRef>
                          <c15:sqref>'PN Word Boundaries'!$F$5:$H$5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88-4847-BEB1-DE5B257B329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Boundaries'!$A$6</c15:sqref>
                        </c15:formulaRef>
                      </c:ext>
                    </c:extLst>
                    <c:strCache>
                      <c:ptCount val="1"/>
                      <c:pt idx="0">
                        <c:v>Elaine was a</c:v>
                      </c:pt>
                    </c:strCache>
                  </c:strRef>
                </c:tx>
                <c:spPr>
                  <a:solidFill>
                    <a:srgbClr val="1B9E77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Boundaries'!$E$6:$H$6</c15:sqref>
                        </c15:fullRef>
                        <c15:formulaRef>
                          <c15:sqref>'PN Word Boundaries'!$F$6:$H$6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2</c:v>
                      </c:pt>
                      <c:pt idx="2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88-4847-BEB1-DE5B257B329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Boundaries'!$A$7</c15:sqref>
                        </c15:formulaRef>
                      </c:ext>
                    </c:extLst>
                    <c:strCache>
                      <c:ptCount val="1"/>
                      <c:pt idx="0">
                        <c:v>Elaina’s a</c:v>
                      </c:pt>
                    </c:strCache>
                  </c:strRef>
                </c:tx>
                <c:spPr>
                  <a:solidFill>
                    <a:srgbClr val="66C2A5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Boundaries'!$E$7:$H$7</c15:sqref>
                        </c15:fullRef>
                        <c15:formulaRef>
                          <c15:sqref>'PN Word Boundaries'!$F$7:$H$7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51</c:v>
                      </c:pt>
                      <c:pt idx="1">
                        <c:v>1</c:v>
                      </c:pt>
                      <c:pt idx="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88-4847-BEB1-DE5B257B3296}"/>
                  </c:ext>
                </c:extLst>
              </c15:ser>
            </c15:filteredBarSeries>
          </c:ext>
        </c:extLst>
      </c:barChart>
      <c:catAx>
        <c:axId val="18893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284847"/>
        <c:crosses val="autoZero"/>
        <c:auto val="1"/>
        <c:lblAlgn val="ctr"/>
        <c:lblOffset val="100"/>
        <c:noMultiLvlLbl val="0"/>
      </c:catAx>
      <c:valAx>
        <c:axId val="1889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3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847922134733156"/>
          <c:y val="0.18287037037037041"/>
          <c:w val="0.20207633420822393"/>
          <c:h val="0.3159857101195683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50.649390132949009</c:v>
                  </c:pt>
                  <c:pt idx="2">
                    <c:v>50.926141589070994</c:v>
                  </c:pt>
                  <c:pt idx="3">
                    <c:v>51.054397041147979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50.649390132949009</c:v>
                  </c:pt>
                  <c:pt idx="2">
                    <c:v>50.926141589070994</c:v>
                  </c:pt>
                  <c:pt idx="3">
                    <c:v>51.054397041147979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foot'!$B$16:$B$19</c:f>
              <c:numCache>
                <c:formatCode>0</c:formatCode>
                <c:ptCount val="4"/>
                <c:pt idx="0">
                  <c:v>293.46300000000002</c:v>
                </c:pt>
                <c:pt idx="1">
                  <c:v>315.149</c:v>
                </c:pt>
                <c:pt idx="2">
                  <c:v>390.40600000000001</c:v>
                </c:pt>
                <c:pt idx="3">
                  <c:v>511.738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4-4B84-BFF5-EB77CBB69A47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50.649390132949009</c:v>
                  </c:pt>
                  <c:pt idx="2">
                    <c:v>50.926141589070994</c:v>
                  </c:pt>
                  <c:pt idx="3">
                    <c:v>51.054397041147979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50.649390132949009</c:v>
                  </c:pt>
                  <c:pt idx="2">
                    <c:v>50.926141589070994</c:v>
                  </c:pt>
                  <c:pt idx="3">
                    <c:v>51.054397041147979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foot'!$I$16:$I$19</c:f>
              <c:numCache>
                <c:formatCode>0</c:formatCode>
                <c:ptCount val="4"/>
                <c:pt idx="0">
                  <c:v>247.56000000000003</c:v>
                </c:pt>
                <c:pt idx="1">
                  <c:v>269.24599999999998</c:v>
                </c:pt>
                <c:pt idx="2">
                  <c:v>344.50299999999999</c:v>
                </c:pt>
                <c:pt idx="3">
                  <c:v>465.83499999999998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4-4B84-BFF5-EB77CBB69A47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45.946319615084107</c:v>
                  </c:pt>
                  <c:pt idx="2">
                    <c:v>47.112331097899499</c:v>
                  </c:pt>
                  <c:pt idx="3">
                    <c:v>47.628998574130001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45.946319615084107</c:v>
                  </c:pt>
                  <c:pt idx="2">
                    <c:v>47.112331097899499</c:v>
                  </c:pt>
                  <c:pt idx="3">
                    <c:v>47.628998574130001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foot'!$B$3:$B$6</c:f>
              <c:numCache>
                <c:formatCode>0</c:formatCode>
                <c:ptCount val="4"/>
                <c:pt idx="0">
                  <c:v>93.635000000000005</c:v>
                </c:pt>
                <c:pt idx="1">
                  <c:v>95.665000000000006</c:v>
                </c:pt>
                <c:pt idx="2">
                  <c:v>96.561999999999998</c:v>
                </c:pt>
                <c:pt idx="3">
                  <c:v>94.23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4-4B84-BFF5-EB77CBB69A47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45.946319615084107</c:v>
                  </c:pt>
                  <c:pt idx="2">
                    <c:v>47.112331097899499</c:v>
                  </c:pt>
                  <c:pt idx="3">
                    <c:v>47.628998574130001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45.946319615084107</c:v>
                  </c:pt>
                  <c:pt idx="2">
                    <c:v>47.112331097899499</c:v>
                  </c:pt>
                  <c:pt idx="3">
                    <c:v>47.628998574130001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foot'!$I$3:$I$6</c:f>
              <c:numCache>
                <c:formatCode>0</c:formatCode>
                <c:ptCount val="4"/>
                <c:pt idx="0">
                  <c:v>97.433000000000007</c:v>
                </c:pt>
                <c:pt idx="1">
                  <c:v>99.463000000000008</c:v>
                </c:pt>
                <c:pt idx="2">
                  <c:v>100.36</c:v>
                </c:pt>
                <c:pt idx="3">
                  <c:v>98.028000000000006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4-4B84-BFF5-EB77CBB6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foot syls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60.872134085901962</c:v>
                  </c:pt>
                  <c:pt idx="2">
                    <c:v>61.103710750532969</c:v>
                  </c:pt>
                  <c:pt idx="3">
                    <c:v>61.344436585350081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60.872134085901962</c:v>
                  </c:pt>
                  <c:pt idx="2">
                    <c:v>61.103710750532969</c:v>
                  </c:pt>
                  <c:pt idx="3">
                    <c:v>61.344436585350081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foot'!$B$29:$B$32</c:f>
              <c:numCache>
                <c:formatCode>0</c:formatCode>
                <c:ptCount val="4"/>
                <c:pt idx="0">
                  <c:v>329.84500000000003</c:v>
                </c:pt>
                <c:pt idx="1">
                  <c:v>340.50299999999999</c:v>
                </c:pt>
                <c:pt idx="2">
                  <c:v>447.13099999999997</c:v>
                </c:pt>
                <c:pt idx="3">
                  <c:v>578.57100000000003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2-4D6C-B23A-05722858752F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60.872134085901962</c:v>
                  </c:pt>
                  <c:pt idx="2">
                    <c:v>61.103710750532969</c:v>
                  </c:pt>
                  <c:pt idx="3">
                    <c:v>61.344436585350081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60.872134085901962</c:v>
                  </c:pt>
                  <c:pt idx="2">
                    <c:v>61.103710750532969</c:v>
                  </c:pt>
                  <c:pt idx="3">
                    <c:v>61.344436585350081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foot'!$I$29:$I$32</c:f>
              <c:numCache>
                <c:formatCode>0</c:formatCode>
                <c:ptCount val="4"/>
                <c:pt idx="0">
                  <c:v>323.96000000000004</c:v>
                </c:pt>
                <c:pt idx="1">
                  <c:v>334.61799999999999</c:v>
                </c:pt>
                <c:pt idx="2">
                  <c:v>441.24599999999998</c:v>
                </c:pt>
                <c:pt idx="3">
                  <c:v>572.68600000000004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2-4D6C-B23A-05722858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L and H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3.2226772591541959</c:v>
                  </c:pt>
                  <c:pt idx="2">
                    <c:v>3.1975555535462092</c:v>
                  </c:pt>
                  <c:pt idx="3">
                    <c:v>3.1891548819329074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3.2226772591541959</c:v>
                  </c:pt>
                  <c:pt idx="2">
                    <c:v>3.1975555535462092</c:v>
                  </c:pt>
                  <c:pt idx="3">
                    <c:v>3.1891548819329074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foot'!$B$22:$B$25</c:f>
              <c:numCache>
                <c:formatCode>0.0</c:formatCode>
                <c:ptCount val="4"/>
                <c:pt idx="0">
                  <c:v>87.010999999999996</c:v>
                </c:pt>
                <c:pt idx="1">
                  <c:v>87.86</c:v>
                </c:pt>
                <c:pt idx="2">
                  <c:v>89.311000000000007</c:v>
                </c:pt>
                <c:pt idx="3">
                  <c:v>89.045000000000002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0-491F-8BA6-255D8D322441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3.2226772591541959</c:v>
                  </c:pt>
                  <c:pt idx="2">
                    <c:v>3.1975555535462092</c:v>
                  </c:pt>
                  <c:pt idx="3">
                    <c:v>3.1891548819329074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3.2226772591541959</c:v>
                  </c:pt>
                  <c:pt idx="2">
                    <c:v>3.1975555535462092</c:v>
                  </c:pt>
                  <c:pt idx="3">
                    <c:v>3.1891548819329074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foot'!$I$22:$I$25</c:f>
              <c:numCache>
                <c:formatCode>0.0</c:formatCode>
                <c:ptCount val="4"/>
                <c:pt idx="0">
                  <c:v>86.384</c:v>
                </c:pt>
                <c:pt idx="1">
                  <c:v>87.233000000000004</c:v>
                </c:pt>
                <c:pt idx="2">
                  <c:v>88.684000000000012</c:v>
                </c:pt>
                <c:pt idx="3">
                  <c:v>88.418000000000006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0-491F-8BA6-255D8D322441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3.2917416333633014</c:v>
                  </c:pt>
                  <c:pt idx="2">
                    <c:v>3.2615647509215933</c:v>
                  </c:pt>
                  <c:pt idx="3">
                    <c:v>3.2799387698625964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3.2917416333633014</c:v>
                  </c:pt>
                  <c:pt idx="2">
                    <c:v>3.2615647509215933</c:v>
                  </c:pt>
                  <c:pt idx="3">
                    <c:v>3.2799387698625964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foot'!$B$9:$B$12</c:f>
              <c:numCache>
                <c:formatCode>0.0</c:formatCode>
                <c:ptCount val="4"/>
                <c:pt idx="0">
                  <c:v>82.762</c:v>
                </c:pt>
                <c:pt idx="1">
                  <c:v>83.275999999999996</c:v>
                </c:pt>
                <c:pt idx="2">
                  <c:v>83.234999999999999</c:v>
                </c:pt>
                <c:pt idx="3">
                  <c:v>83.643000000000001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0-491F-8BA6-255D8D322441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3.2917416333633014</c:v>
                  </c:pt>
                  <c:pt idx="2">
                    <c:v>3.2615647509215933</c:v>
                  </c:pt>
                  <c:pt idx="3">
                    <c:v>3.2799387698625964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3.2917416333633014</c:v>
                  </c:pt>
                  <c:pt idx="2">
                    <c:v>3.2615647509215933</c:v>
                  </c:pt>
                  <c:pt idx="3">
                    <c:v>3.2799387698625964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foot'!$I$9:$I$12</c:f>
              <c:numCache>
                <c:formatCode>0.0</c:formatCode>
                <c:ptCount val="4"/>
                <c:pt idx="0">
                  <c:v>82.74</c:v>
                </c:pt>
                <c:pt idx="1">
                  <c:v>83.253999999999991</c:v>
                </c:pt>
                <c:pt idx="2">
                  <c:v>83.212999999999994</c:v>
                </c:pt>
                <c:pt idx="3">
                  <c:v>83.620999999999995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0-491F-8BA6-255D8D32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%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3.8975121217071091</c:v>
                  </c:pt>
                  <c:pt idx="2">
                    <c:v>3.5702956318790058</c:v>
                  </c:pt>
                  <c:pt idx="3">
                    <c:v>3.7806902608009949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3.8975121217071091</c:v>
                  </c:pt>
                  <c:pt idx="2">
                    <c:v>3.5702956318790058</c:v>
                  </c:pt>
                  <c:pt idx="3">
                    <c:v>3.7806902608009949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foot'!$B$35:$B$38</c:f>
              <c:numCache>
                <c:formatCode>0.0</c:formatCode>
                <c:ptCount val="4"/>
                <c:pt idx="0">
                  <c:v>86.513000000000005</c:v>
                </c:pt>
                <c:pt idx="1">
                  <c:v>87.876000000000005</c:v>
                </c:pt>
                <c:pt idx="2">
                  <c:v>88.182000000000002</c:v>
                </c:pt>
                <c:pt idx="3">
                  <c:v>87.86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4-4476-92DB-01F3CBEBC658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3.8975121217071091</c:v>
                  </c:pt>
                  <c:pt idx="2">
                    <c:v>3.5702956318790058</c:v>
                  </c:pt>
                  <c:pt idx="3">
                    <c:v>3.7806902608009949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3.8975121217071091</c:v>
                  </c:pt>
                  <c:pt idx="2">
                    <c:v>3.5702956318790058</c:v>
                  </c:pt>
                  <c:pt idx="3">
                    <c:v>3.7806902608009949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foot'!$I$35:$I$38</c:f>
              <c:numCache>
                <c:formatCode>0.0</c:formatCode>
                <c:ptCount val="4"/>
                <c:pt idx="0">
                  <c:v>80.919000000000011</c:v>
                </c:pt>
                <c:pt idx="1">
                  <c:v>82.282000000000011</c:v>
                </c:pt>
                <c:pt idx="2">
                  <c:v>82.588000000000008</c:v>
                </c:pt>
                <c:pt idx="3">
                  <c:v>82.266000000000005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4-4476-92DB-01F3CBEBC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foot'!$H$3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D-4951-B4B0-BD03A5A81899}"/>
            </c:ext>
          </c:extLst>
        </c:ser>
        <c:ser>
          <c:idx val="5"/>
          <c:order val="1"/>
          <c:tx>
            <c:strRef>
              <c:f>'nuc foot'!$H$4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99.463000000000008</c:v>
                </c:pt>
                <c:pt idx="1">
                  <c:v>269.24599999999998</c:v>
                </c:pt>
                <c:pt idx="2">
                  <c:v>334.61799999999999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83.253999999999991</c:v>
                </c:pt>
                <c:pt idx="1">
                  <c:v>87.233000000000004</c:v>
                </c:pt>
                <c:pt idx="2">
                  <c:v>82.282000000000011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D-4951-B4B0-BD03A5A81899}"/>
            </c:ext>
          </c:extLst>
        </c:ser>
        <c:ser>
          <c:idx val="6"/>
          <c:order val="2"/>
          <c:tx>
            <c:strRef>
              <c:f>'nuc foot'!$H$5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100.36</c:v>
                </c:pt>
                <c:pt idx="1">
                  <c:v>344.50299999999999</c:v>
                </c:pt>
                <c:pt idx="2">
                  <c:v>441.24599999999998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83.212999999999994</c:v>
                </c:pt>
                <c:pt idx="1">
                  <c:v>88.684000000000012</c:v>
                </c:pt>
                <c:pt idx="2">
                  <c:v>82.588000000000008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D-4951-B4B0-BD03A5A81899}"/>
            </c:ext>
          </c:extLst>
        </c:ser>
        <c:ser>
          <c:idx val="7"/>
          <c:order val="3"/>
          <c:tx>
            <c:strRef>
              <c:f>'nuc foot'!$H$6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98.028000000000006</c:v>
                </c:pt>
                <c:pt idx="1">
                  <c:v>465.83499999999998</c:v>
                </c:pt>
                <c:pt idx="2">
                  <c:v>572.68600000000004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83.620999999999995</c:v>
                </c:pt>
                <c:pt idx="1">
                  <c:v>88.418000000000006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D-4951-B4B0-BD03A5A81899}"/>
            </c:ext>
          </c:extLst>
        </c:ser>
        <c:ser>
          <c:idx val="1"/>
          <c:order val="4"/>
          <c:tx>
            <c:strRef>
              <c:f>'nuc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1D-4951-B4B0-BD03A5A81899}"/>
            </c:ext>
          </c:extLst>
        </c:ser>
        <c:ser>
          <c:idx val="2"/>
          <c:order val="5"/>
          <c:tx>
            <c:strRef>
              <c:f>'nuc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95.665000000000006</c:v>
                </c:pt>
                <c:pt idx="1">
                  <c:v>315.149</c:v>
                </c:pt>
                <c:pt idx="2">
                  <c:v>340.50299999999999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83.275999999999996</c:v>
                </c:pt>
                <c:pt idx="1">
                  <c:v>87.86</c:v>
                </c:pt>
                <c:pt idx="2">
                  <c:v>87.876000000000005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1D-4951-B4B0-BD03A5A81899}"/>
            </c:ext>
          </c:extLst>
        </c:ser>
        <c:ser>
          <c:idx val="3"/>
          <c:order val="6"/>
          <c:tx>
            <c:strRef>
              <c:f>'nuc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96.561999999999998</c:v>
                </c:pt>
                <c:pt idx="1">
                  <c:v>390.40600000000001</c:v>
                </c:pt>
                <c:pt idx="2">
                  <c:v>447.13099999999997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83.234999999999999</c:v>
                </c:pt>
                <c:pt idx="1">
                  <c:v>89.311000000000007</c:v>
                </c:pt>
                <c:pt idx="2">
                  <c:v>88.182000000000002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1D-4951-B4B0-BD03A5A81899}"/>
            </c:ext>
          </c:extLst>
        </c:ser>
        <c:ser>
          <c:idx val="0"/>
          <c:order val="7"/>
          <c:tx>
            <c:strRef>
              <c:f>'nuc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511.738</c:v>
                </c:pt>
                <c:pt idx="2">
                  <c:v>578.57100000000003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89.045000000000002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1D-4951-B4B0-BD03A5A8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74</xdr:row>
      <xdr:rowOff>0</xdr:rowOff>
    </xdr:from>
    <xdr:to>
      <xdr:col>14</xdr:col>
      <xdr:colOff>503037</xdr:colOff>
      <xdr:row>86</xdr:row>
      <xdr:rowOff>126000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356D99C-1001-4E1D-85B0-F762DBB60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3</xdr:col>
      <xdr:colOff>503037</xdr:colOff>
      <xdr:row>86</xdr:row>
      <xdr:rowOff>126000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9F43706-3219-4F83-A1AE-3E3C93CA1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74</xdr:row>
      <xdr:rowOff>0</xdr:rowOff>
    </xdr:from>
    <xdr:to>
      <xdr:col>7</xdr:col>
      <xdr:colOff>0</xdr:colOff>
      <xdr:row>86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1F2BA023-56FC-4BC9-AB14-94F3117A9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10</xdr:col>
      <xdr:colOff>503037</xdr:colOff>
      <xdr:row>86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3EEE418-295C-439D-AC84-2808E1FD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101318</xdr:colOff>
      <xdr:row>15</xdr:row>
      <xdr:rowOff>22500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B224D680-F0DA-442A-BF73-E207F926D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</xdr:colOff>
      <xdr:row>0</xdr:row>
      <xdr:rowOff>0</xdr:rowOff>
    </xdr:from>
    <xdr:to>
      <xdr:col>27</xdr:col>
      <xdr:colOff>99321</xdr:colOff>
      <xdr:row>15</xdr:row>
      <xdr:rowOff>22500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963CF862-0469-4DCA-A672-6F79B5AFE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101318</xdr:colOff>
      <xdr:row>31</xdr:row>
      <xdr:rowOff>22500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EA8E5E9C-07B4-417D-BE70-070D9E46C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</xdr:colOff>
      <xdr:row>16</xdr:row>
      <xdr:rowOff>0</xdr:rowOff>
    </xdr:from>
    <xdr:to>
      <xdr:col>27</xdr:col>
      <xdr:colOff>99322</xdr:colOff>
      <xdr:row>31</xdr:row>
      <xdr:rowOff>22500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3BEB3E70-3811-4777-AC91-BF1CE27B7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32</xdr:col>
      <xdr:colOff>209550</xdr:colOff>
      <xdr:row>12</xdr:row>
      <xdr:rowOff>126000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84A34E-6DDF-4796-8788-70AF78181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67DAC-116C-45F1-9ECD-3058081BA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609599</xdr:colOff>
      <xdr:row>15</xdr:row>
      <xdr:rowOff>0</xdr:rowOff>
    </xdr:from>
    <xdr:to>
      <xdr:col>14</xdr:col>
      <xdr:colOff>261599</xdr:colOff>
      <xdr:row>29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B2085-02D0-4779-BE05-0551CD7E2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3</xdr:col>
      <xdr:colOff>503036</xdr:colOff>
      <xdr:row>52</xdr:row>
      <xdr:rowOff>126000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092F63-FCCC-4C38-952B-1A7158353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3</xdr:col>
      <xdr:colOff>503038</xdr:colOff>
      <xdr:row>66</xdr:row>
      <xdr:rowOff>126000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6110FF-1669-4050-A88A-5140043C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7</xdr:col>
      <xdr:colOff>157653</xdr:colOff>
      <xdr:row>52</xdr:row>
      <xdr:rowOff>126000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48657B-88B8-4226-B731-C6B78ABF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7</xdr:col>
      <xdr:colOff>0</xdr:colOff>
      <xdr:row>66</xdr:row>
      <xdr:rowOff>126000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7B0E2C-89ED-486B-A796-D83624E4D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68</xdr:row>
      <xdr:rowOff>0</xdr:rowOff>
    </xdr:from>
    <xdr:to>
      <xdr:col>7</xdr:col>
      <xdr:colOff>0</xdr:colOff>
      <xdr:row>80</xdr:row>
      <xdr:rowOff>126000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7E715A-8590-4D6A-A613-484CAD378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10</xdr:col>
      <xdr:colOff>503038</xdr:colOff>
      <xdr:row>80</xdr:row>
      <xdr:rowOff>126000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3D1AC62-827F-42D8-87AA-45242C3D9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14</xdr:col>
      <xdr:colOff>503037</xdr:colOff>
      <xdr:row>80</xdr:row>
      <xdr:rowOff>126000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B6D6282-5CC3-49AF-A58C-E49B0899D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82</xdr:row>
      <xdr:rowOff>0</xdr:rowOff>
    </xdr:from>
    <xdr:to>
      <xdr:col>7</xdr:col>
      <xdr:colOff>0</xdr:colOff>
      <xdr:row>94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D1752AB-7213-4887-85C2-EB0BE2EA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10</xdr:col>
      <xdr:colOff>503036</xdr:colOff>
      <xdr:row>94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2680593-CCF8-44AF-865B-A65ABE902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14</xdr:col>
      <xdr:colOff>503037</xdr:colOff>
      <xdr:row>94</xdr:row>
      <xdr:rowOff>126000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C7BCE8B-B357-454D-A508-5DEAEB6F1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3</xdr:col>
      <xdr:colOff>496744</xdr:colOff>
      <xdr:row>94</xdr:row>
      <xdr:rowOff>126000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B1B10EF-13CA-438F-90E3-9F5732AD9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27</xdr:col>
      <xdr:colOff>99320</xdr:colOff>
      <xdr:row>15</xdr:row>
      <xdr:rowOff>22500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1EB6B15-0289-4B2C-B101-61EC5A489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101319</xdr:colOff>
      <xdr:row>15</xdr:row>
      <xdr:rowOff>22500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5AD71DE1-6575-4D91-A25E-64F01307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1997</xdr:colOff>
      <xdr:row>16</xdr:row>
      <xdr:rowOff>8528</xdr:rowOff>
    </xdr:from>
    <xdr:to>
      <xdr:col>27</xdr:col>
      <xdr:colOff>101318</xdr:colOff>
      <xdr:row>31</xdr:row>
      <xdr:rowOff>31028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F313F7C-F7FF-4132-9678-73DD019C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101319</xdr:colOff>
      <xdr:row>31</xdr:row>
      <xdr:rowOff>22500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DF0C885C-F0C7-42C9-A540-36E08ABC8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11</xdr:col>
      <xdr:colOff>503036</xdr:colOff>
      <xdr:row>65</xdr:row>
      <xdr:rowOff>126000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B688F-539F-4E1F-BF56-C34700F23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D7EE3-9B50-461F-947A-3C889BD25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324263</xdr:colOff>
      <xdr:row>0</xdr:row>
      <xdr:rowOff>0</xdr:rowOff>
    </xdr:from>
    <xdr:to>
      <xdr:col>16</xdr:col>
      <xdr:colOff>356151</xdr:colOff>
      <xdr:row>14</xdr:row>
      <xdr:rowOff>25380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0ECC8-2271-4801-82D9-3F29DF1B3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279530</xdr:colOff>
      <xdr:row>14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374E54-7F8A-48BE-BE19-733C45909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A77136-CC8A-4FD5-960F-056C9EC5B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261600</xdr:colOff>
      <xdr:row>26</xdr:row>
      <xdr:rowOff>64500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37ACA-3CC2-438E-ADD5-9C10FA020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6BD6A53-2052-45AF-B75A-F47319382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39CE8D3-259D-4FCF-905E-11073FC88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A993E01-C652-40F3-8D5D-2D161F54B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29</xdr:row>
      <xdr:rowOff>33000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0A567-A9C6-4B9A-8595-4830FC7B8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EF212B-BDAF-43B4-B86B-84AF5106E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9A3298-D200-4D6D-8DDE-E77742DE1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6FD63F-FD45-4B10-BC98-6914B42FE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370149</xdr:colOff>
      <xdr:row>0</xdr:row>
      <xdr:rowOff>0</xdr:rowOff>
    </xdr:from>
    <xdr:to>
      <xdr:col>16</xdr:col>
      <xdr:colOff>409657</xdr:colOff>
      <xdr:row>14</xdr:row>
      <xdr:rowOff>21570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378BB-19B6-42FE-96E7-650D87434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279530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BC717-3108-46D9-BC46-811C9CECF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26</xdr:row>
      <xdr:rowOff>64500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105469-C156-4D03-AA81-46BF9A0DA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D6E8C5-90D1-4CC9-BB7E-8B73651F5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11</xdr:col>
      <xdr:colOff>259695</xdr:colOff>
      <xdr:row>38</xdr:row>
      <xdr:rowOff>60690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26157D-B811-412E-AE86-41B43ABB1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16</xdr:col>
      <xdr:colOff>259695</xdr:colOff>
      <xdr:row>38</xdr:row>
      <xdr:rowOff>60690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DF2269-7675-4FC1-B27A-1184DB499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99391</xdr:colOff>
      <xdr:row>8</xdr:row>
      <xdr:rowOff>177248</xdr:rowOff>
    </xdr:from>
    <xdr:to>
      <xdr:col>6</xdr:col>
      <xdr:colOff>115956</xdr:colOff>
      <xdr:row>23</xdr:row>
      <xdr:rowOff>62948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3F0D7-EA02-4198-8C1C-C99EAB1C9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6</xdr:col>
      <xdr:colOff>16565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24725-5A9A-490D-B4DA-A010C35A8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t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f0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f0_exc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h_slope_b0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6_4_pn_all_output/pn_l_t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6_4_pn_all_output/pn_l_f0_b0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6_4_pn_all_output/pn_h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6_4_pn_all_output/pn_h_f0_b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6_4_pn_all_output/pn_f0_exc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t_b1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6_4_pn_all_output/pn_lh_slope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f0_b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t_b1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0"/>
    </sheetNames>
    <sheetDataSet>
      <sheetData sheetId="0">
        <row r="2">
          <cell r="A2" t="str">
            <v>foot_syls1</v>
          </cell>
          <cell r="B2">
            <v>93.635000000000005</v>
          </cell>
          <cell r="C2">
            <v>46.535150306968099</v>
          </cell>
          <cell r="D2">
            <v>140.73555452220899</v>
          </cell>
          <cell r="E2">
            <v>15.606999999999999</v>
          </cell>
        </row>
        <row r="3">
          <cell r="A3" t="str">
            <v>foot_syls2</v>
          </cell>
          <cell r="B3">
            <v>95.665000000000006</v>
          </cell>
          <cell r="C3">
            <v>49.718680384915899</v>
          </cell>
          <cell r="D3">
            <v>141.610906661835</v>
          </cell>
          <cell r="E3">
            <v>16.067</v>
          </cell>
        </row>
        <row r="4">
          <cell r="A4" t="str">
            <v>foot_syls3</v>
          </cell>
          <cell r="B4">
            <v>96.561999999999998</v>
          </cell>
          <cell r="C4">
            <v>49.449668902100498</v>
          </cell>
          <cell r="D4">
            <v>143.67386441968199</v>
          </cell>
          <cell r="E4">
            <v>15.603</v>
          </cell>
        </row>
        <row r="5">
          <cell r="A5" t="str">
            <v>foot_syls4</v>
          </cell>
          <cell r="B5">
            <v>94.23</v>
          </cell>
          <cell r="C5">
            <v>46.601001425870002</v>
          </cell>
          <cell r="D5">
            <v>141.85912965916299</v>
          </cell>
          <cell r="E5">
            <v>15.430999999999999</v>
          </cell>
        </row>
        <row r="6">
          <cell r="A6" t="str">
            <v>pre_syls0</v>
          </cell>
          <cell r="B6">
            <v>93.635000000000005</v>
          </cell>
          <cell r="C6">
            <v>46.535150306968099</v>
          </cell>
          <cell r="D6">
            <v>140.73555452220899</v>
          </cell>
          <cell r="E6">
            <v>15.606999999999999</v>
          </cell>
        </row>
        <row r="7">
          <cell r="A7" t="str">
            <v>pre_syls1</v>
          </cell>
          <cell r="B7">
            <v>85.861000000000004</v>
          </cell>
          <cell r="C7">
            <v>38.781974566796301</v>
          </cell>
          <cell r="D7">
            <v>132.94040870611801</v>
          </cell>
          <cell r="E7">
            <v>15.614000000000001</v>
          </cell>
        </row>
        <row r="8">
          <cell r="A8" t="str">
            <v>pre_syls2</v>
          </cell>
          <cell r="B8">
            <v>87.626999999999995</v>
          </cell>
          <cell r="C8">
            <v>40.517660234100902</v>
          </cell>
          <cell r="D8">
            <v>134.73665865599401</v>
          </cell>
          <cell r="E8">
            <v>15.596</v>
          </cell>
        </row>
        <row r="9">
          <cell r="A9" t="str">
            <v>pre_syls3</v>
          </cell>
          <cell r="B9">
            <v>80.147000000000006</v>
          </cell>
          <cell r="C9">
            <v>32.884653071971599</v>
          </cell>
          <cell r="D9">
            <v>127.408532022366</v>
          </cell>
          <cell r="E9">
            <v>15.544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1"/>
    </sheetNames>
    <sheetDataSet>
      <sheetData sheetId="0">
        <row r="15">
          <cell r="C15">
            <v>-5.8849999999999998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0"/>
    </sheetNames>
    <sheetDataSet>
      <sheetData sheetId="0">
        <row r="2">
          <cell r="A2" t="str">
            <v>foot_syls1</v>
          </cell>
          <cell r="B2">
            <v>86.513000000000005</v>
          </cell>
          <cell r="C2">
            <v>82.942987311347594</v>
          </cell>
          <cell r="D2">
            <v>90.083916880842807</v>
          </cell>
          <cell r="E2">
            <v>1.657</v>
          </cell>
        </row>
        <row r="3">
          <cell r="A3" t="str">
            <v>foot_syls2</v>
          </cell>
          <cell r="B3">
            <v>87.876000000000005</v>
          </cell>
          <cell r="C3">
            <v>83.978487878292896</v>
          </cell>
          <cell r="D3">
            <v>91.774390495953099</v>
          </cell>
          <cell r="E3">
            <v>1.82</v>
          </cell>
        </row>
        <row r="4">
          <cell r="A4" t="str">
            <v>foot_syls3</v>
          </cell>
          <cell r="B4">
            <v>88.182000000000002</v>
          </cell>
          <cell r="C4">
            <v>84.611704368120996</v>
          </cell>
          <cell r="D4">
            <v>91.752391507603406</v>
          </cell>
          <cell r="E4">
            <v>1.657</v>
          </cell>
        </row>
        <row r="5">
          <cell r="A5" t="str">
            <v>foot_syls4</v>
          </cell>
          <cell r="B5">
            <v>87.86</v>
          </cell>
          <cell r="C5">
            <v>84.079309739199005</v>
          </cell>
          <cell r="D5">
            <v>91.641026466987398</v>
          </cell>
          <cell r="E5">
            <v>1.7649999999999999</v>
          </cell>
        </row>
        <row r="6">
          <cell r="A6" t="str">
            <v>pre_syls0</v>
          </cell>
          <cell r="B6">
            <v>86.513000000000005</v>
          </cell>
          <cell r="C6">
            <v>82.942987311347594</v>
          </cell>
          <cell r="D6">
            <v>90.083916880842807</v>
          </cell>
          <cell r="E6">
            <v>1.657</v>
          </cell>
        </row>
        <row r="7">
          <cell r="A7" t="str">
            <v>pre_syls1</v>
          </cell>
          <cell r="B7">
            <v>87.019000000000005</v>
          </cell>
          <cell r="C7">
            <v>83.448041266181704</v>
          </cell>
          <cell r="D7">
            <v>90.590593697609606</v>
          </cell>
          <cell r="E7">
            <v>1.6579999999999999</v>
          </cell>
        </row>
        <row r="8">
          <cell r="A8" t="str">
            <v>pre_syls2</v>
          </cell>
          <cell r="B8">
            <v>86.739000000000004</v>
          </cell>
          <cell r="C8">
            <v>83.009392640188594</v>
          </cell>
          <cell r="D8">
            <v>90.468303578422393</v>
          </cell>
          <cell r="E8">
            <v>1.742</v>
          </cell>
        </row>
        <row r="9">
          <cell r="A9" t="str">
            <v>pre_syls3</v>
          </cell>
          <cell r="B9">
            <v>86.736000000000004</v>
          </cell>
          <cell r="C9">
            <v>83.006381982088996</v>
          </cell>
          <cell r="D9">
            <v>90.465710226183901</v>
          </cell>
          <cell r="E9">
            <v>1.7430000000000001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1"/>
    </sheetNames>
    <sheetDataSet>
      <sheetData sheetId="0">
        <row r="14">
          <cell r="C14">
            <v>-5.5940000000000003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f0_exc_b0"/>
    </sheetNames>
    <sheetDataSet>
      <sheetData sheetId="0">
        <row r="2">
          <cell r="A2" t="str">
            <v>foot_syls1</v>
          </cell>
          <cell r="B2">
            <v>3.41</v>
          </cell>
          <cell r="C2">
            <v>1.0465079691707899</v>
          </cell>
          <cell r="D2">
            <v>5.7741236262001197</v>
          </cell>
          <cell r="E2">
            <v>0.99099999999999999</v>
          </cell>
        </row>
        <row r="3">
          <cell r="A3" t="str">
            <v>foot_syls2</v>
          </cell>
          <cell r="B3">
            <v>3.8130000000000002</v>
          </cell>
          <cell r="C3">
            <v>0.327695027354025</v>
          </cell>
          <cell r="D3">
            <v>7.2978740200461401</v>
          </cell>
          <cell r="E3">
            <v>1.403</v>
          </cell>
        </row>
        <row r="4">
          <cell r="A4" t="str">
            <v>foot_syls3</v>
          </cell>
          <cell r="B4">
            <v>5.327</v>
          </cell>
          <cell r="C4">
            <v>2.96288825402962</v>
          </cell>
          <cell r="D4">
            <v>7.6904308795327303</v>
          </cell>
          <cell r="E4">
            <v>0.99099999999999999</v>
          </cell>
        </row>
        <row r="5">
          <cell r="A5" t="str">
            <v>foot_syls4</v>
          </cell>
          <cell r="B5">
            <v>4.9210000000000003</v>
          </cell>
          <cell r="C5">
            <v>1.7677504068610499</v>
          </cell>
          <cell r="D5">
            <v>8.0743504016799399</v>
          </cell>
          <cell r="E5">
            <v>1.2789999999999999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h_slope_b0"/>
    </sheetNames>
    <sheetDataSet>
      <sheetData sheetId="0">
        <row r="2">
          <cell r="A2" t="str">
            <v>foot_syls1</v>
          </cell>
          <cell r="B2">
            <v>3.2069999999999999</v>
          </cell>
          <cell r="C2">
            <v>2.4934475520662298</v>
          </cell>
          <cell r="D2">
            <v>3.9212622531503398</v>
          </cell>
          <cell r="E2">
            <v>0.18099999999999999</v>
          </cell>
        </row>
        <row r="3">
          <cell r="A3" t="str">
            <v>foot_syls2</v>
          </cell>
          <cell r="B3">
            <v>3.1840000000000002</v>
          </cell>
          <cell r="C3">
            <v>2.5724256577208999</v>
          </cell>
          <cell r="D3">
            <v>3.7953048673969798</v>
          </cell>
          <cell r="E3">
            <v>0.247</v>
          </cell>
        </row>
        <row r="4">
          <cell r="A4" t="str">
            <v>foot_syls3</v>
          </cell>
          <cell r="B4">
            <v>3.0779999999999998</v>
          </cell>
          <cell r="C4">
            <v>2.3662342327233401</v>
          </cell>
          <cell r="D4">
            <v>3.7895801851745201</v>
          </cell>
          <cell r="E4">
            <v>0.18099999999999999</v>
          </cell>
        </row>
        <row r="5">
          <cell r="A5" t="str">
            <v>foot_syls4</v>
          </cell>
          <cell r="B5">
            <v>2.4980000000000002</v>
          </cell>
          <cell r="C5">
            <v>1.9410342573963999</v>
          </cell>
          <cell r="D5">
            <v>3.0552407580702399</v>
          </cell>
          <cell r="E5">
            <v>0.22700000000000001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t_b0"/>
    </sheetNames>
    <sheetDataSet>
      <sheetData sheetId="0">
        <row r="2">
          <cell r="A2" t="str">
            <v>ana_syls0</v>
          </cell>
          <cell r="B2">
            <v>46.2</v>
          </cell>
          <cell r="C2">
            <v>6.5967463847160399</v>
          </cell>
          <cell r="D2">
            <v>85.812500740278594</v>
          </cell>
          <cell r="E2">
            <v>18.14</v>
          </cell>
        </row>
        <row r="3">
          <cell r="A3" t="str">
            <v>ana_syls1</v>
          </cell>
          <cell r="B3">
            <v>13.69</v>
          </cell>
          <cell r="C3">
            <v>-82.542645765229096</v>
          </cell>
          <cell r="D3">
            <v>109.922277266642</v>
          </cell>
          <cell r="E3">
            <v>38.51</v>
          </cell>
        </row>
        <row r="4">
          <cell r="A4" t="str">
            <v>ana_syls2</v>
          </cell>
          <cell r="B4">
            <v>15.11</v>
          </cell>
          <cell r="C4">
            <v>-81.058894014132306</v>
          </cell>
          <cell r="D4">
            <v>111.269364998366</v>
          </cell>
          <cell r="E4">
            <v>38.89</v>
          </cell>
        </row>
        <row r="5">
          <cell r="A5" t="str">
            <v>ana_syls3</v>
          </cell>
          <cell r="B5">
            <v>25.6</v>
          </cell>
          <cell r="C5">
            <v>-70.565829722645105</v>
          </cell>
          <cell r="D5">
            <v>121.76198505396501</v>
          </cell>
          <cell r="E5">
            <v>38.89</v>
          </cell>
        </row>
        <row r="6">
          <cell r="A6" t="str">
            <v>foot_syls1</v>
          </cell>
          <cell r="B6">
            <v>46.2</v>
          </cell>
          <cell r="C6">
            <v>6.5967463847160399</v>
          </cell>
          <cell r="D6">
            <v>85.812500740278594</v>
          </cell>
          <cell r="E6">
            <v>18.14</v>
          </cell>
        </row>
        <row r="7">
          <cell r="A7" t="str">
            <v>foot_syls2</v>
          </cell>
          <cell r="B7">
            <v>47.72</v>
          </cell>
          <cell r="C7">
            <v>8.7252946728488894</v>
          </cell>
          <cell r="D7">
            <v>86.721775274480393</v>
          </cell>
          <cell r="E7">
            <v>17.690000000000001</v>
          </cell>
        </row>
        <row r="8">
          <cell r="A8" t="str">
            <v>foot_syls3</v>
          </cell>
          <cell r="B8">
            <v>52.71</v>
          </cell>
          <cell r="C8">
            <v>13.5894432682085</v>
          </cell>
          <cell r="D8">
            <v>91.821004083572603</v>
          </cell>
          <cell r="E8">
            <v>17.670000000000002</v>
          </cell>
        </row>
        <row r="9">
          <cell r="A9" t="str">
            <v>foot_syls4</v>
          </cell>
          <cell r="B9">
            <v>64.489999999999995</v>
          </cell>
          <cell r="C9">
            <v>24.8775429038987</v>
          </cell>
          <cell r="D9">
            <v>104.106184341922</v>
          </cell>
          <cell r="E9">
            <v>18.07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f0_b0"/>
    </sheetNames>
    <sheetDataSet>
      <sheetData sheetId="0">
        <row r="2">
          <cell r="A2" t="str">
            <v>ana_syls0</v>
          </cell>
          <cell r="B2">
            <v>-0.72</v>
          </cell>
          <cell r="C2">
            <v>-1.7565094033984201</v>
          </cell>
          <cell r="D2">
            <v>0.32509691379777</v>
          </cell>
          <cell r="E2">
            <v>0.43</v>
          </cell>
        </row>
        <row r="3">
          <cell r="A3" t="str">
            <v>ana_syls1</v>
          </cell>
          <cell r="B3">
            <v>0.16</v>
          </cell>
          <cell r="C3">
            <v>-0.90707006018054503</v>
          </cell>
          <cell r="D3">
            <v>1.21769975053144</v>
          </cell>
          <cell r="E3">
            <v>0.47</v>
          </cell>
        </row>
        <row r="4">
          <cell r="A4" t="str">
            <v>ana_syls2</v>
          </cell>
          <cell r="B4">
            <v>-0.52</v>
          </cell>
          <cell r="C4">
            <v>-1.6648704520998101</v>
          </cell>
          <cell r="D4">
            <v>0.62342027080806695</v>
          </cell>
          <cell r="E4">
            <v>0.54</v>
          </cell>
        </row>
        <row r="5">
          <cell r="A5" t="str">
            <v>ana_syls3</v>
          </cell>
          <cell r="B5">
            <v>-0.65</v>
          </cell>
          <cell r="C5">
            <v>-1.79178164106981</v>
          </cell>
          <cell r="D5">
            <v>0.49672222302129398</v>
          </cell>
          <cell r="E5">
            <v>0.54</v>
          </cell>
        </row>
        <row r="6">
          <cell r="A6" t="str">
            <v>foot_syls1</v>
          </cell>
          <cell r="B6">
            <v>-0.72</v>
          </cell>
          <cell r="C6">
            <v>-1.7565094033984201</v>
          </cell>
          <cell r="D6">
            <v>0.32509691379777</v>
          </cell>
          <cell r="E6">
            <v>0.43</v>
          </cell>
        </row>
        <row r="7">
          <cell r="A7" t="str">
            <v>foot_syls2</v>
          </cell>
          <cell r="B7">
            <v>-0.97</v>
          </cell>
          <cell r="C7">
            <v>-2.11536243901205</v>
          </cell>
          <cell r="D7">
            <v>0.173438535179854</v>
          </cell>
          <cell r="E7">
            <v>0.39</v>
          </cell>
        </row>
        <row r="8">
          <cell r="A8" t="str">
            <v>foot_syls3</v>
          </cell>
          <cell r="B8">
            <v>-0.88</v>
          </cell>
          <cell r="C8">
            <v>-1.47591997893684</v>
          </cell>
          <cell r="D8">
            <v>-0.28500420634409701</v>
          </cell>
          <cell r="E8">
            <v>0.28000000000000003</v>
          </cell>
        </row>
        <row r="9">
          <cell r="A9" t="str">
            <v>foot_syls4</v>
          </cell>
          <cell r="B9">
            <v>-0.78</v>
          </cell>
          <cell r="C9">
            <v>-1.4029403220905501</v>
          </cell>
          <cell r="D9">
            <v>-0.154507965495841</v>
          </cell>
          <cell r="E9">
            <v>0.3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t_b0"/>
    </sheetNames>
    <sheetDataSet>
      <sheetData sheetId="0">
        <row r="5">
          <cell r="A5" t="str">
            <v>ana_syls0</v>
          </cell>
          <cell r="B5">
            <v>184.03</v>
          </cell>
          <cell r="C5">
            <v>151.506949680486</v>
          </cell>
          <cell r="D5">
            <v>216.54399928761001</v>
          </cell>
          <cell r="E5">
            <v>15.51</v>
          </cell>
        </row>
        <row r="6">
          <cell r="A6" t="str">
            <v>ana_syls1</v>
          </cell>
          <cell r="B6">
            <v>146.68</v>
          </cell>
          <cell r="C6">
            <v>90.808399579699397</v>
          </cell>
          <cell r="D6">
            <v>202.55092072075499</v>
          </cell>
          <cell r="E6">
            <v>23.92</v>
          </cell>
        </row>
        <row r="7">
          <cell r="A7" t="str">
            <v>ana_syls2</v>
          </cell>
          <cell r="B7">
            <v>184.81</v>
          </cell>
          <cell r="C7">
            <v>128.28338969342599</v>
          </cell>
          <cell r="D7">
            <v>241.34456183907</v>
          </cell>
          <cell r="E7">
            <v>24.92</v>
          </cell>
        </row>
        <row r="8">
          <cell r="A8" t="str">
            <v>ana_syls3</v>
          </cell>
          <cell r="B8">
            <v>196.31</v>
          </cell>
          <cell r="C8">
            <v>139.783401363927</v>
          </cell>
          <cell r="D8">
            <v>252.84052976831401</v>
          </cell>
          <cell r="E8">
            <v>24.93</v>
          </cell>
        </row>
        <row r="9">
          <cell r="A9" t="str">
            <v>foot_syls1</v>
          </cell>
          <cell r="B9">
            <v>184.03</v>
          </cell>
          <cell r="C9">
            <v>151.50699150927201</v>
          </cell>
          <cell r="D9">
            <v>216.543988074411</v>
          </cell>
          <cell r="E9">
            <v>15.51</v>
          </cell>
        </row>
        <row r="10">
          <cell r="A10" t="str">
            <v>foot_syls2</v>
          </cell>
          <cell r="B10">
            <v>223.65</v>
          </cell>
          <cell r="C10">
            <v>189.32100990096399</v>
          </cell>
          <cell r="D10">
            <v>257.98451528172501</v>
          </cell>
          <cell r="E10">
            <v>16.38</v>
          </cell>
        </row>
        <row r="11">
          <cell r="A11" t="str">
            <v>foot_syls3</v>
          </cell>
          <cell r="B11">
            <v>250.64</v>
          </cell>
          <cell r="C11">
            <v>206.74646438307099</v>
          </cell>
          <cell r="D11">
            <v>294.53480036163103</v>
          </cell>
          <cell r="E11">
            <v>20.29</v>
          </cell>
        </row>
        <row r="12">
          <cell r="A12" t="str">
            <v>foot_syls4</v>
          </cell>
          <cell r="B12">
            <v>251.81</v>
          </cell>
          <cell r="C12">
            <v>211.81376536255701</v>
          </cell>
          <cell r="D12">
            <v>291.80850172416001</v>
          </cell>
          <cell r="E12">
            <v>18.86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f0_b0"/>
    </sheetNames>
    <sheetDataSet>
      <sheetData sheetId="0">
        <row r="5">
          <cell r="A5" t="str">
            <v>ana_syls0</v>
          </cell>
          <cell r="B5">
            <v>1.5</v>
          </cell>
          <cell r="C5">
            <v>0.39689523098933299</v>
          </cell>
          <cell r="D5">
            <v>2.5945488757358302</v>
          </cell>
          <cell r="E5">
            <v>0.51</v>
          </cell>
        </row>
        <row r="6">
          <cell r="A6" t="str">
            <v>ana_syls1</v>
          </cell>
          <cell r="B6">
            <v>1.79</v>
          </cell>
          <cell r="C6">
            <v>1.40188301191372E-2</v>
          </cell>
          <cell r="D6">
            <v>3.5673911813759398</v>
          </cell>
          <cell r="E6">
            <v>0.7</v>
          </cell>
        </row>
        <row r="7">
          <cell r="A7" t="str">
            <v>ana_syls2</v>
          </cell>
          <cell r="B7">
            <v>1.87</v>
          </cell>
          <cell r="C7">
            <v>9.03321681326332E-2</v>
          </cell>
          <cell r="D7">
            <v>3.6407151941978699</v>
          </cell>
          <cell r="E7">
            <v>0.75</v>
          </cell>
        </row>
        <row r="8">
          <cell r="A8" t="str">
            <v>ana_syls3</v>
          </cell>
          <cell r="B8">
            <v>1.17</v>
          </cell>
          <cell r="C8">
            <v>-0.60663699285287898</v>
          </cell>
          <cell r="D8">
            <v>2.9431319242153</v>
          </cell>
          <cell r="E8">
            <v>0.75</v>
          </cell>
        </row>
        <row r="9">
          <cell r="A9" t="str">
            <v>foot_syls1</v>
          </cell>
          <cell r="B9">
            <v>1.5</v>
          </cell>
          <cell r="C9">
            <v>0.39689523098933299</v>
          </cell>
          <cell r="D9">
            <v>2.5945488757358302</v>
          </cell>
          <cell r="E9">
            <v>0.51</v>
          </cell>
        </row>
        <row r="10">
          <cell r="A10" t="str">
            <v>foot_syls2</v>
          </cell>
          <cell r="B10">
            <v>2.2400000000000002</v>
          </cell>
          <cell r="C10">
            <v>1.1097249952672901</v>
          </cell>
          <cell r="D10">
            <v>3.3704089834438</v>
          </cell>
          <cell r="E10">
            <v>0.53</v>
          </cell>
        </row>
        <row r="11">
          <cell r="A11" t="str">
            <v>foot_syls3</v>
          </cell>
          <cell r="B11">
            <v>2.5099999999999998</v>
          </cell>
          <cell r="C11">
            <v>1.50506593199987</v>
          </cell>
          <cell r="D11">
            <v>3.5234864941742101</v>
          </cell>
          <cell r="E11">
            <v>0.44</v>
          </cell>
        </row>
        <row r="12">
          <cell r="A12" t="str">
            <v>foot_syls4</v>
          </cell>
          <cell r="B12">
            <v>2.17</v>
          </cell>
          <cell r="C12">
            <v>1.1379900405871699</v>
          </cell>
          <cell r="D12">
            <v>3.21044651648725</v>
          </cell>
          <cell r="E12">
            <v>0.47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f0_exc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</row>
        <row r="2">
          <cell r="A2" t="str">
            <v>ana_syls0</v>
          </cell>
          <cell r="B2">
            <v>2.25</v>
          </cell>
          <cell r="C2">
            <v>1.2193754869086899</v>
          </cell>
          <cell r="D2">
            <v>3.2871948464253302</v>
          </cell>
          <cell r="E2">
            <v>0.48</v>
          </cell>
        </row>
        <row r="3">
          <cell r="A3" t="str">
            <v>ana_syls1</v>
          </cell>
          <cell r="B3">
            <v>2.19</v>
          </cell>
          <cell r="C3">
            <v>3.71627578716653E-2</v>
          </cell>
          <cell r="D3">
            <v>4.3492149985115196</v>
          </cell>
          <cell r="E3">
            <v>0.84</v>
          </cell>
        </row>
        <row r="4">
          <cell r="A4" t="str">
            <v>ana_syls2</v>
          </cell>
          <cell r="B4">
            <v>3.25</v>
          </cell>
          <cell r="C4">
            <v>1.10274649319997</v>
          </cell>
          <cell r="D4">
            <v>5.3896313290389104</v>
          </cell>
          <cell r="E4">
            <v>0.86</v>
          </cell>
        </row>
        <row r="5">
          <cell r="A5" t="str">
            <v>ana_syls3</v>
          </cell>
          <cell r="B5">
            <v>2.74</v>
          </cell>
          <cell r="C5">
            <v>0.59682035643766795</v>
          </cell>
          <cell r="D5">
            <v>4.8835889161651904</v>
          </cell>
          <cell r="E5">
            <v>0.86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1"/>
    </sheetNames>
    <sheetDataSet>
      <sheetData sheetId="0">
        <row r="14">
          <cell r="C14">
            <v>3.798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h_slope_b0"/>
    </sheetNames>
    <sheetDataSet>
      <sheetData sheetId="0">
        <row r="2">
          <cell r="A2" t="str">
            <v>ana_syls0</v>
          </cell>
          <cell r="B2">
            <v>2.67</v>
          </cell>
          <cell r="C2">
            <v>2.2444539271720498</v>
          </cell>
          <cell r="D2">
            <v>3.09445969557542</v>
          </cell>
          <cell r="E2">
            <v>0.19</v>
          </cell>
        </row>
        <row r="3">
          <cell r="A3" t="str">
            <v>ana_syls1</v>
          </cell>
          <cell r="B3">
            <v>2.73</v>
          </cell>
          <cell r="C3">
            <v>1.79172008297501</v>
          </cell>
          <cell r="D3">
            <v>3.662384469864</v>
          </cell>
          <cell r="E3">
            <v>0.32</v>
          </cell>
        </row>
        <row r="4">
          <cell r="A4" t="str">
            <v>ana_syls2</v>
          </cell>
          <cell r="B4">
            <v>2.9</v>
          </cell>
          <cell r="C4">
            <v>1.9889242999987899</v>
          </cell>
          <cell r="D4">
            <v>3.8174185660920301</v>
          </cell>
          <cell r="E4">
            <v>0.33</v>
          </cell>
        </row>
        <row r="5">
          <cell r="A5" t="str">
            <v>ana_syls3</v>
          </cell>
          <cell r="B5">
            <v>2.77</v>
          </cell>
          <cell r="C5">
            <v>1.8541376361439801</v>
          </cell>
          <cell r="D5">
            <v>3.6785445274248301</v>
          </cell>
          <cell r="E5">
            <v>0.33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0"/>
    </sheetNames>
    <sheetDataSet>
      <sheetData sheetId="0">
        <row r="2">
          <cell r="A2" t="str">
            <v>foot_syls1</v>
          </cell>
          <cell r="B2">
            <v>82.762</v>
          </cell>
          <cell r="C2">
            <v>79.500185162119095</v>
          </cell>
          <cell r="D2">
            <v>86.023843765545905</v>
          </cell>
          <cell r="E2">
            <v>1.4750000000000001</v>
          </cell>
        </row>
        <row r="3">
          <cell r="A3" t="str">
            <v>foot_syls2</v>
          </cell>
          <cell r="B3">
            <v>83.275999999999996</v>
          </cell>
          <cell r="C3">
            <v>79.984258366636695</v>
          </cell>
          <cell r="D3">
            <v>86.567805733215295</v>
          </cell>
          <cell r="E3">
            <v>1.4990000000000001</v>
          </cell>
        </row>
        <row r="4">
          <cell r="A4" t="str">
            <v>foot_syls3</v>
          </cell>
          <cell r="B4">
            <v>83.234999999999999</v>
          </cell>
          <cell r="C4">
            <v>79.973435249078406</v>
          </cell>
          <cell r="D4">
            <v>86.497002710887003</v>
          </cell>
          <cell r="E4">
            <v>1.4750000000000001</v>
          </cell>
        </row>
        <row r="5">
          <cell r="A5" t="str">
            <v>foot_syls4</v>
          </cell>
          <cell r="B5">
            <v>83.643000000000001</v>
          </cell>
          <cell r="C5">
            <v>80.363061230137404</v>
          </cell>
          <cell r="D5">
            <v>86.923502165059006</v>
          </cell>
          <cell r="E5">
            <v>1.49</v>
          </cell>
        </row>
        <row r="6">
          <cell r="A6" t="str">
            <v>pre_syls0</v>
          </cell>
          <cell r="B6">
            <v>82.762</v>
          </cell>
          <cell r="C6">
            <v>79.500185162119095</v>
          </cell>
          <cell r="D6">
            <v>86.023843765545905</v>
          </cell>
          <cell r="E6">
            <v>1.4750000000000001</v>
          </cell>
        </row>
        <row r="7">
          <cell r="A7" t="str">
            <v>pre_syls1</v>
          </cell>
          <cell r="B7">
            <v>82.888000000000005</v>
          </cell>
          <cell r="C7">
            <v>79.626029801380895</v>
          </cell>
          <cell r="D7">
            <v>86.150470409638601</v>
          </cell>
          <cell r="E7">
            <v>1.4750000000000001</v>
          </cell>
        </row>
        <row r="8">
          <cell r="A8" t="str">
            <v>pre_syls2</v>
          </cell>
          <cell r="B8">
            <v>82.617999999999995</v>
          </cell>
          <cell r="C8">
            <v>79.340411908147004</v>
          </cell>
          <cell r="D8">
            <v>85.896356246247393</v>
          </cell>
          <cell r="E8">
            <v>1.4890000000000001</v>
          </cell>
        </row>
        <row r="9">
          <cell r="A9" t="str">
            <v>pre_syls3</v>
          </cell>
          <cell r="B9">
            <v>82.62</v>
          </cell>
          <cell r="C9">
            <v>79.342228048400102</v>
          </cell>
          <cell r="D9">
            <v>85.898284096217296</v>
          </cell>
          <cell r="E9">
            <v>1.4890000000000001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1"/>
    </sheetNames>
    <sheetDataSet>
      <sheetData sheetId="0">
        <row r="14">
          <cell r="C14">
            <v>-2.1999999999999999E-2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0"/>
    </sheetNames>
    <sheetDataSet>
      <sheetData sheetId="0">
        <row r="2">
          <cell r="A2" t="str">
            <v>foot_syls1</v>
          </cell>
          <cell r="B2">
            <v>293.46300000000002</v>
          </cell>
          <cell r="C2">
            <v>242.539719864674</v>
          </cell>
          <cell r="D2">
            <v>344.38708694553497</v>
          </cell>
          <cell r="E2">
            <v>19.398</v>
          </cell>
        </row>
        <row r="3">
          <cell r="A3" t="str">
            <v>foot_syls2</v>
          </cell>
          <cell r="B3">
            <v>315.149</v>
          </cell>
          <cell r="C3">
            <v>264.49960986705099</v>
          </cell>
          <cell r="D3">
            <v>365.79785733487</v>
          </cell>
          <cell r="E3">
            <v>19.853000000000002</v>
          </cell>
        </row>
        <row r="4">
          <cell r="A4" t="str">
            <v>foot_syls3</v>
          </cell>
          <cell r="B4">
            <v>390.40600000000001</v>
          </cell>
          <cell r="C4">
            <v>339.47985841092901</v>
          </cell>
          <cell r="D4">
            <v>441.33248439072202</v>
          </cell>
          <cell r="E4">
            <v>19.395</v>
          </cell>
        </row>
        <row r="5">
          <cell r="A5" t="str">
            <v>foot_syls4</v>
          </cell>
          <cell r="B5">
            <v>511.738</v>
          </cell>
          <cell r="C5">
            <v>460.68360295885202</v>
          </cell>
          <cell r="D5">
            <v>562.79264632520506</v>
          </cell>
          <cell r="E5">
            <v>19.222999999999999</v>
          </cell>
        </row>
        <row r="6">
          <cell r="A6" t="str">
            <v>pre_syls0</v>
          </cell>
          <cell r="B6">
            <v>293.46300000000002</v>
          </cell>
          <cell r="C6">
            <v>242.539719864674</v>
          </cell>
          <cell r="D6">
            <v>344.38708694553497</v>
          </cell>
          <cell r="E6">
            <v>19.398</v>
          </cell>
        </row>
        <row r="7">
          <cell r="A7" t="str">
            <v>pre_syls1</v>
          </cell>
          <cell r="B7">
            <v>259.11200000000002</v>
          </cell>
          <cell r="C7">
            <v>208.19444919199901</v>
          </cell>
          <cell r="D7">
            <v>310.03017152940402</v>
          </cell>
          <cell r="E7">
            <v>19.405000000000001</v>
          </cell>
        </row>
        <row r="8">
          <cell r="A8" t="str">
            <v>pre_syls2</v>
          </cell>
          <cell r="B8">
            <v>254.43100000000001</v>
          </cell>
          <cell r="C8">
            <v>203.51336930373699</v>
          </cell>
          <cell r="D8">
            <v>305.34859198895202</v>
          </cell>
          <cell r="E8">
            <v>19.387</v>
          </cell>
        </row>
        <row r="9">
          <cell r="A9" t="str">
            <v>pre_syls3</v>
          </cell>
          <cell r="B9">
            <v>248.37100000000001</v>
          </cell>
          <cell r="C9">
            <v>197.41463871583599</v>
          </cell>
          <cell r="D9">
            <v>299.32649216050203</v>
          </cell>
          <cell r="E9">
            <v>19.335999999999999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1"/>
    </sheetNames>
    <sheetDataSet>
      <sheetData sheetId="0">
        <row r="14">
          <cell r="C14">
            <v>-45.902999999999999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0"/>
    </sheetNames>
    <sheetDataSet>
      <sheetData sheetId="0">
        <row r="2">
          <cell r="A2" t="str">
            <v>foot_syls1</v>
          </cell>
          <cell r="B2">
            <v>87.010999999999996</v>
          </cell>
          <cell r="C2">
            <v>83.812936749720905</v>
          </cell>
          <cell r="D2">
            <v>90.209114999957194</v>
          </cell>
          <cell r="E2">
            <v>1.474</v>
          </cell>
        </row>
        <row r="3">
          <cell r="A3" t="str">
            <v>foot_syls2</v>
          </cell>
          <cell r="B3">
            <v>87.86</v>
          </cell>
          <cell r="C3">
            <v>84.637322740845804</v>
          </cell>
          <cell r="D3">
            <v>91.083653579654296</v>
          </cell>
          <cell r="E3">
            <v>1.494</v>
          </cell>
        </row>
        <row r="4">
          <cell r="A4" t="str">
            <v>foot_syls3</v>
          </cell>
          <cell r="B4">
            <v>89.311000000000007</v>
          </cell>
          <cell r="C4">
            <v>86.113444446453798</v>
          </cell>
          <cell r="D4">
            <v>92.509240100607599</v>
          </cell>
          <cell r="E4">
            <v>1.474</v>
          </cell>
        </row>
        <row r="5">
          <cell r="A5" t="str">
            <v>foot_syls4</v>
          </cell>
          <cell r="B5">
            <v>89.045000000000002</v>
          </cell>
          <cell r="C5">
            <v>85.855845118067094</v>
          </cell>
          <cell r="D5">
            <v>92.234440800827102</v>
          </cell>
          <cell r="E5">
            <v>1.4670000000000001</v>
          </cell>
        </row>
        <row r="6">
          <cell r="A6" t="str">
            <v>pre_syls0</v>
          </cell>
          <cell r="B6">
            <v>87.010999999999996</v>
          </cell>
          <cell r="C6">
            <v>83.812936749720905</v>
          </cell>
          <cell r="D6">
            <v>90.209114999957194</v>
          </cell>
          <cell r="E6">
            <v>1.474</v>
          </cell>
        </row>
        <row r="7">
          <cell r="A7" t="str">
            <v>pre_syls1</v>
          </cell>
          <cell r="B7">
            <v>87.822999999999993</v>
          </cell>
          <cell r="C7">
            <v>84.624393594063605</v>
          </cell>
          <cell r="D7">
            <v>91.021819622201704</v>
          </cell>
          <cell r="E7">
            <v>1.474</v>
          </cell>
        </row>
        <row r="8">
          <cell r="A8" t="str">
            <v>pre_syls2</v>
          </cell>
          <cell r="B8">
            <v>87.759</v>
          </cell>
          <cell r="C8">
            <v>84.560430840817205</v>
          </cell>
          <cell r="D8">
            <v>90.957321332276706</v>
          </cell>
          <cell r="E8">
            <v>1.474</v>
          </cell>
        </row>
        <row r="9">
          <cell r="A9" t="str">
            <v>pre_syls3</v>
          </cell>
          <cell r="B9">
            <v>88.149000000000001</v>
          </cell>
          <cell r="C9">
            <v>84.952252780567804</v>
          </cell>
          <cell r="D9">
            <v>91.344935136713104</v>
          </cell>
          <cell r="E9">
            <v>1.4730000000000001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1"/>
    </sheetNames>
    <sheetDataSet>
      <sheetData sheetId="0">
        <row r="14">
          <cell r="C14">
            <v>-0.627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0"/>
    </sheetNames>
    <sheetDataSet>
      <sheetData sheetId="0">
        <row r="2">
          <cell r="A2" t="str">
            <v>foot_syls1</v>
          </cell>
          <cell r="B2">
            <v>329.84500000000003</v>
          </cell>
          <cell r="C2">
            <v>268.75160486329003</v>
          </cell>
          <cell r="D2">
            <v>390.93891142532601</v>
          </cell>
          <cell r="E2">
            <v>22.425999999999998</v>
          </cell>
        </row>
        <row r="3">
          <cell r="A3" t="str">
            <v>foot_syls2</v>
          </cell>
          <cell r="B3">
            <v>340.50299999999999</v>
          </cell>
          <cell r="C3">
            <v>279.63086591409802</v>
          </cell>
          <cell r="D3">
            <v>401.37513369646399</v>
          </cell>
          <cell r="E3">
            <v>22.971</v>
          </cell>
        </row>
        <row r="4">
          <cell r="A4" t="str">
            <v>foot_syls3</v>
          </cell>
          <cell r="B4">
            <v>447.13099999999997</v>
          </cell>
          <cell r="C4">
            <v>386.027289249467</v>
          </cell>
          <cell r="D4">
            <v>508.23400111145997</v>
          </cell>
          <cell r="E4">
            <v>22.419</v>
          </cell>
        </row>
        <row r="5">
          <cell r="A5" t="str">
            <v>foot_syls4</v>
          </cell>
          <cell r="B5">
            <v>578.57100000000003</v>
          </cell>
          <cell r="C5">
            <v>517.22656341464995</v>
          </cell>
          <cell r="D5">
            <v>639.91445032859895</v>
          </cell>
          <cell r="E5">
            <v>22.268999999999998</v>
          </cell>
        </row>
        <row r="6">
          <cell r="A6" t="str">
            <v>pre_syls0</v>
          </cell>
          <cell r="B6">
            <v>329.84500000000003</v>
          </cell>
          <cell r="C6">
            <v>268.75160486329003</v>
          </cell>
          <cell r="D6">
            <v>390.93891142532601</v>
          </cell>
          <cell r="E6">
            <v>22.425999999999998</v>
          </cell>
        </row>
        <row r="7">
          <cell r="A7" t="str">
            <v>pre_syls1</v>
          </cell>
          <cell r="B7">
            <v>298.947</v>
          </cell>
          <cell r="C7">
            <v>237.86020420813699</v>
          </cell>
          <cell r="D7">
            <v>360.03392051677798</v>
          </cell>
          <cell r="E7">
            <v>22.431000000000001</v>
          </cell>
        </row>
        <row r="8">
          <cell r="A8" t="str">
            <v>pre_syls2</v>
          </cell>
          <cell r="B8">
            <v>299.78699999999998</v>
          </cell>
          <cell r="C8">
            <v>238.687936640103</v>
          </cell>
          <cell r="D8">
            <v>360.88680264748302</v>
          </cell>
          <cell r="E8">
            <v>22.417999999999999</v>
          </cell>
        </row>
        <row r="9">
          <cell r="A9" t="str">
            <v>pre_syls3</v>
          </cell>
          <cell r="B9">
            <v>294.57799999999997</v>
          </cell>
          <cell r="C9">
            <v>233.41167249980299</v>
          </cell>
          <cell r="D9">
            <v>355.745229402809</v>
          </cell>
          <cell r="E9">
            <v>22.364999999999998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0795BF-185B-4519-A736-22D534BC7D3B}" name="Table1" displayName="Table1" ref="A1:I8" totalsRowShown="0" headerRowDxfId="6" headerRowBorderDxfId="5">
  <autoFilter ref="A1:I8" xr:uid="{07B42067-24E8-43DB-AE57-37A21BE9E32A}">
    <filterColumn colId="1">
      <filters blank="1">
        <filter val="1"/>
        <filter val="3"/>
      </filters>
    </filterColumn>
  </autoFilter>
  <tableColumns count="9">
    <tableColumn id="1" xr3:uid="{5371554D-DA1B-4B68-AB5C-23CEFF8D9436}" name="pre-nuclear phrase" dataDxfId="4"/>
    <tableColumn id="2" xr3:uid="{5CCBA533-A9EE-4C09-9F15-CE57F5948F3D}" name="pairing" dataDxfId="3"/>
    <tableColumn id="3" xr3:uid="{FEF8CD11-BD2F-48BB-B6D9-CE0198FBE718}" name="anacr." dataDxfId="2"/>
    <tableColumn id="4" xr3:uid="{07ACF7BA-8A7E-4C3D-9A49-9AB517533968}" name="word-end syl." dataDxfId="1"/>
    <tableColumn id="5" xr3:uid="{9FBD1F0E-4D7A-43C6-A14B-D78F46262A9A}" name="(*)" dataDxfId="0"/>
    <tableColumn id="6" xr3:uid="{1401B170-66E2-4B3B-816F-643567E0C4A7}" name="L*H"/>
    <tableColumn id="7" xr3:uid="{3F5CF46D-9D21-46D7-8224-0966963746A3}" name="&gt;H*"/>
    <tableColumn id="8" xr3:uid="{8EF44466-12A0-4F98-A588-BBDB0A3EA858}" name="H*"/>
    <tableColumn id="9" xr3:uid="{FAE85633-40C2-49C8-9E75-CC4E1073ABF7}" name="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130F-68F7-4AB5-A7B9-D1C7DF27C657}">
  <dimension ref="A1:AP40"/>
  <sheetViews>
    <sheetView zoomScaleNormal="100" workbookViewId="0">
      <selection activeCell="A35" sqref="A35"/>
    </sheetView>
  </sheetViews>
  <sheetFormatPr defaultRowHeight="14.4" x14ac:dyDescent="0.3"/>
  <cols>
    <col min="1" max="1" width="8.88671875" customWidth="1"/>
    <col min="6" max="6" width="8.88671875" style="9"/>
    <col min="7" max="7" width="8.88671875" style="1"/>
    <col min="8" max="9" width="8.88671875" style="9"/>
  </cols>
  <sheetData>
    <row r="1" spans="1:9" x14ac:dyDescent="0.3">
      <c r="A1" t="s">
        <v>12</v>
      </c>
      <c r="G1" s="12" t="s">
        <v>13</v>
      </c>
    </row>
    <row r="2" spans="1:9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3">
      <c r="A3" s="3" t="str">
        <f>RIGHT([1]nuc_l_t_b0!A2,5)</f>
        <v>syls1</v>
      </c>
      <c r="B3" s="3">
        <f>[1]nuc_l_t_b0!B2</f>
        <v>93.635000000000005</v>
      </c>
      <c r="C3" s="3">
        <f>[1]nuc_l_t_b0!C2</f>
        <v>46.535150306968099</v>
      </c>
      <c r="D3" s="3">
        <f>[1]nuc_l_t_b0!D2</f>
        <v>140.73555452220899</v>
      </c>
      <c r="E3">
        <f>[1]nuc_l_t_b0!E2</f>
        <v>15.606999999999999</v>
      </c>
      <c r="F3" s="9">
        <f>B3-C3</f>
        <v>47.099849693031906</v>
      </c>
      <c r="G3" s="3">
        <f>[2]nuc_l_t_b1!$C$14</f>
        <v>3.798</v>
      </c>
      <c r="H3" s="9" t="str">
        <f>A3</f>
        <v>syls1</v>
      </c>
      <c r="I3" s="10">
        <f>B3+$G3</f>
        <v>97.433000000000007</v>
      </c>
    </row>
    <row r="4" spans="1:9" x14ac:dyDescent="0.3">
      <c r="A4" s="3" t="str">
        <f>RIGHT([1]nuc_l_t_b0!A3,5)</f>
        <v>syls2</v>
      </c>
      <c r="B4" s="3">
        <f>[1]nuc_l_t_b0!B3</f>
        <v>95.665000000000006</v>
      </c>
      <c r="C4" s="3">
        <f>[1]nuc_l_t_b0!C3</f>
        <v>49.718680384915899</v>
      </c>
      <c r="D4" s="3">
        <f>[1]nuc_l_t_b0!D3</f>
        <v>141.610906661835</v>
      </c>
      <c r="E4">
        <f>[1]nuc_l_t_b0!E3</f>
        <v>16.067</v>
      </c>
      <c r="F4" s="9">
        <f>B4-C4</f>
        <v>45.946319615084107</v>
      </c>
      <c r="G4" s="3">
        <f>[2]nuc_l_t_b1!$C$14</f>
        <v>3.798</v>
      </c>
      <c r="H4" s="9" t="str">
        <f>A4</f>
        <v>syls2</v>
      </c>
      <c r="I4" s="10">
        <f>B4+$G4</f>
        <v>99.463000000000008</v>
      </c>
    </row>
    <row r="5" spans="1:9" x14ac:dyDescent="0.3">
      <c r="A5" s="3" t="str">
        <f>RIGHT([1]nuc_l_t_b0!A4,5)</f>
        <v>syls3</v>
      </c>
      <c r="B5" s="3">
        <f>[1]nuc_l_t_b0!B4</f>
        <v>96.561999999999998</v>
      </c>
      <c r="C5" s="3">
        <f>[1]nuc_l_t_b0!C4</f>
        <v>49.449668902100498</v>
      </c>
      <c r="D5" s="3">
        <f>[1]nuc_l_t_b0!D4</f>
        <v>143.67386441968199</v>
      </c>
      <c r="E5">
        <f>[1]nuc_l_t_b0!E4</f>
        <v>15.603</v>
      </c>
      <c r="F5" s="9">
        <f>B5-C5</f>
        <v>47.112331097899499</v>
      </c>
      <c r="G5" s="3">
        <f>[2]nuc_l_t_b1!$C$14</f>
        <v>3.798</v>
      </c>
      <c r="H5" s="9" t="str">
        <f>A5</f>
        <v>syls3</v>
      </c>
      <c r="I5" s="10">
        <f>B5+$G5</f>
        <v>100.36</v>
      </c>
    </row>
    <row r="6" spans="1:9" x14ac:dyDescent="0.3">
      <c r="A6" s="3" t="str">
        <f>RIGHT([1]nuc_l_t_b0!A5,5)</f>
        <v>syls4</v>
      </c>
      <c r="B6" s="3">
        <f>[1]nuc_l_t_b0!B5</f>
        <v>94.23</v>
      </c>
      <c r="C6" s="3">
        <f>[1]nuc_l_t_b0!C5</f>
        <v>46.601001425870002</v>
      </c>
      <c r="D6" s="3">
        <f>[1]nuc_l_t_b0!D5</f>
        <v>141.85912965916299</v>
      </c>
      <c r="E6">
        <f>[1]nuc_l_t_b0!E5</f>
        <v>15.430999999999999</v>
      </c>
      <c r="F6" s="9">
        <f>B6-C6</f>
        <v>47.628998574130001</v>
      </c>
      <c r="G6" s="3">
        <f>[2]nuc_l_t_b1!$C$14</f>
        <v>3.798</v>
      </c>
      <c r="H6" s="9" t="str">
        <f>A6</f>
        <v>syls4</v>
      </c>
      <c r="I6" s="10">
        <f>B6+$G6</f>
        <v>98.028000000000006</v>
      </c>
    </row>
    <row r="8" spans="1:9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>A8</f>
        <v>l_f0</v>
      </c>
      <c r="I8" s="9" t="str">
        <f>B8</f>
        <v>predicted</v>
      </c>
    </row>
    <row r="9" spans="1:9" x14ac:dyDescent="0.3">
      <c r="A9" s="2" t="str">
        <f>RIGHT([3]nuc_l_f0_b0!A2,5)</f>
        <v>syls1</v>
      </c>
      <c r="B9" s="2">
        <f>[3]nuc_l_f0_b0!B2</f>
        <v>82.762</v>
      </c>
      <c r="C9" s="2">
        <f>[3]nuc_l_f0_b0!C2</f>
        <v>79.500185162119095</v>
      </c>
      <c r="D9" s="2">
        <f>[3]nuc_l_f0_b0!D2</f>
        <v>86.023843765545905</v>
      </c>
      <c r="E9">
        <f>[3]nuc_l_f0_b0!E2</f>
        <v>1.4750000000000001</v>
      </c>
      <c r="F9" s="9">
        <f t="shared" ref="F9:F38" si="0">B9-C9</f>
        <v>3.2618148378809053</v>
      </c>
      <c r="G9" s="2">
        <f>[4]nuc_l_f0_b1!$C$14</f>
        <v>-2.1999999999999999E-2</v>
      </c>
      <c r="H9" s="9" t="str">
        <f>A9</f>
        <v>syls1</v>
      </c>
      <c r="I9" s="11">
        <f>B9+$G9</f>
        <v>82.74</v>
      </c>
    </row>
    <row r="10" spans="1:9" x14ac:dyDescent="0.3">
      <c r="A10" s="2" t="str">
        <f>RIGHT([3]nuc_l_f0_b0!A3,5)</f>
        <v>syls2</v>
      </c>
      <c r="B10" s="2">
        <f>[3]nuc_l_f0_b0!B3</f>
        <v>83.275999999999996</v>
      </c>
      <c r="C10" s="2">
        <f>[3]nuc_l_f0_b0!C3</f>
        <v>79.984258366636695</v>
      </c>
      <c r="D10" s="2">
        <f>[3]nuc_l_f0_b0!D3</f>
        <v>86.567805733215295</v>
      </c>
      <c r="E10">
        <f>[3]nuc_l_f0_b0!E3</f>
        <v>1.4990000000000001</v>
      </c>
      <c r="F10" s="9">
        <f t="shared" si="0"/>
        <v>3.2917416333633014</v>
      </c>
      <c r="G10" s="2">
        <f>[4]nuc_l_f0_b1!$C$14</f>
        <v>-2.1999999999999999E-2</v>
      </c>
      <c r="H10" s="9" t="str">
        <f>A10</f>
        <v>syls2</v>
      </c>
      <c r="I10" s="11">
        <f>B10+$G10</f>
        <v>83.253999999999991</v>
      </c>
    </row>
    <row r="11" spans="1:9" x14ac:dyDescent="0.3">
      <c r="A11" s="2" t="str">
        <f>RIGHT([3]nuc_l_f0_b0!A4,5)</f>
        <v>syls3</v>
      </c>
      <c r="B11" s="2">
        <f>[3]nuc_l_f0_b0!B4</f>
        <v>83.234999999999999</v>
      </c>
      <c r="C11" s="2">
        <f>[3]nuc_l_f0_b0!C4</f>
        <v>79.973435249078406</v>
      </c>
      <c r="D11" s="2">
        <f>[3]nuc_l_f0_b0!D4</f>
        <v>86.497002710887003</v>
      </c>
      <c r="E11">
        <f>[3]nuc_l_f0_b0!E4</f>
        <v>1.4750000000000001</v>
      </c>
      <c r="F11" s="9">
        <f t="shared" si="0"/>
        <v>3.2615647509215933</v>
      </c>
      <c r="G11" s="2">
        <f>[4]nuc_l_f0_b1!$C$14</f>
        <v>-2.1999999999999999E-2</v>
      </c>
      <c r="H11" s="9" t="str">
        <f>A11</f>
        <v>syls3</v>
      </c>
      <c r="I11" s="11">
        <f>B11+$G11</f>
        <v>83.212999999999994</v>
      </c>
    </row>
    <row r="12" spans="1:9" x14ac:dyDescent="0.3">
      <c r="A12" s="2" t="str">
        <f>RIGHT([3]nuc_l_f0_b0!A5,5)</f>
        <v>syls4</v>
      </c>
      <c r="B12" s="2">
        <f>[3]nuc_l_f0_b0!B5</f>
        <v>83.643000000000001</v>
      </c>
      <c r="C12" s="2">
        <f>[3]nuc_l_f0_b0!C5</f>
        <v>80.363061230137404</v>
      </c>
      <c r="D12" s="2">
        <f>[3]nuc_l_f0_b0!D5</f>
        <v>86.923502165059006</v>
      </c>
      <c r="E12">
        <f>[3]nuc_l_f0_b0!E5</f>
        <v>1.49</v>
      </c>
      <c r="F12" s="9">
        <f t="shared" si="0"/>
        <v>3.2799387698625964</v>
      </c>
      <c r="G12" s="2">
        <f>[4]nuc_l_f0_b1!$C$14</f>
        <v>-2.1999999999999999E-2</v>
      </c>
      <c r="H12" s="9" t="str">
        <f>A12</f>
        <v>syls4</v>
      </c>
      <c r="I12" s="11">
        <f>B12+$G12</f>
        <v>83.620999999999995</v>
      </c>
    </row>
    <row r="15" spans="1:9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>A15</f>
        <v>h_t</v>
      </c>
      <c r="I15" s="9" t="str">
        <f>B15</f>
        <v>predicted</v>
      </c>
    </row>
    <row r="16" spans="1:9" x14ac:dyDescent="0.3">
      <c r="A16" s="3" t="str">
        <f>RIGHT([5]nuc_h_t_b0!A2,5)</f>
        <v>syls1</v>
      </c>
      <c r="B16" s="3">
        <f>[5]nuc_h_t_b0!B2</f>
        <v>293.46300000000002</v>
      </c>
      <c r="C16" s="3">
        <f>[5]nuc_h_t_b0!C2</f>
        <v>242.539719864674</v>
      </c>
      <c r="D16" s="3">
        <f>[5]nuc_h_t_b0!D2</f>
        <v>344.38708694553497</v>
      </c>
      <c r="E16">
        <f>[5]nuc_h_t_b0!E2</f>
        <v>19.398</v>
      </c>
      <c r="F16" s="9">
        <f t="shared" si="0"/>
        <v>50.923280135326024</v>
      </c>
      <c r="G16" s="3">
        <f>[6]nuc_h_t_b1!$C$14</f>
        <v>-45.902999999999999</v>
      </c>
      <c r="H16" s="9" t="str">
        <f>A16</f>
        <v>syls1</v>
      </c>
      <c r="I16" s="10">
        <f>B16+$G16</f>
        <v>247.56000000000003</v>
      </c>
    </row>
    <row r="17" spans="1:42" x14ac:dyDescent="0.3">
      <c r="A17" s="3" t="str">
        <f>RIGHT([5]nuc_h_t_b0!A3,5)</f>
        <v>syls2</v>
      </c>
      <c r="B17" s="3">
        <f>[5]nuc_h_t_b0!B3</f>
        <v>315.149</v>
      </c>
      <c r="C17" s="3">
        <f>[5]nuc_h_t_b0!C3</f>
        <v>264.49960986705099</v>
      </c>
      <c r="D17" s="3">
        <f>[5]nuc_h_t_b0!D3</f>
        <v>365.79785733487</v>
      </c>
      <c r="E17">
        <f>[5]nuc_h_t_b0!E3</f>
        <v>19.853000000000002</v>
      </c>
      <c r="F17" s="9">
        <f t="shared" si="0"/>
        <v>50.649390132949009</v>
      </c>
      <c r="G17" s="3">
        <f>[6]nuc_h_t_b1!$C$14</f>
        <v>-45.902999999999999</v>
      </c>
      <c r="H17" s="9" t="str">
        <f>A17</f>
        <v>syls2</v>
      </c>
      <c r="I17" s="10">
        <f>B17+$G17</f>
        <v>269.24599999999998</v>
      </c>
    </row>
    <row r="18" spans="1:42" x14ac:dyDescent="0.3">
      <c r="A18" s="3" t="str">
        <f>RIGHT([5]nuc_h_t_b0!A4,5)</f>
        <v>syls3</v>
      </c>
      <c r="B18" s="3">
        <f>[5]nuc_h_t_b0!B4</f>
        <v>390.40600000000001</v>
      </c>
      <c r="C18" s="3">
        <f>[5]nuc_h_t_b0!C4</f>
        <v>339.47985841092901</v>
      </c>
      <c r="D18" s="3">
        <f>[5]nuc_h_t_b0!D4</f>
        <v>441.33248439072202</v>
      </c>
      <c r="E18">
        <f>[5]nuc_h_t_b0!E4</f>
        <v>19.395</v>
      </c>
      <c r="F18" s="9">
        <f t="shared" si="0"/>
        <v>50.926141589070994</v>
      </c>
      <c r="G18" s="3">
        <f>[6]nuc_h_t_b1!$C$14</f>
        <v>-45.902999999999999</v>
      </c>
      <c r="H18" s="9" t="str">
        <f>A18</f>
        <v>syls3</v>
      </c>
      <c r="I18" s="10">
        <f>B18+$G18</f>
        <v>344.50299999999999</v>
      </c>
      <c r="AC18" s="9" t="s">
        <v>15</v>
      </c>
    </row>
    <row r="19" spans="1:42" x14ac:dyDescent="0.3">
      <c r="A19" s="3" t="str">
        <f>RIGHT([5]nuc_h_t_b0!A5,5)</f>
        <v>syls4</v>
      </c>
      <c r="B19" s="3">
        <f>[5]nuc_h_t_b0!B5</f>
        <v>511.738</v>
      </c>
      <c r="C19" s="3">
        <f>[5]nuc_h_t_b0!C5</f>
        <v>460.68360295885202</v>
      </c>
      <c r="D19" s="3">
        <f>[5]nuc_h_t_b0!D5</f>
        <v>562.79264632520506</v>
      </c>
      <c r="E19">
        <f>[5]nuc_h_t_b0!E5</f>
        <v>19.222999999999999</v>
      </c>
      <c r="F19" s="9">
        <f t="shared" si="0"/>
        <v>51.054397041147979</v>
      </c>
      <c r="G19" s="3">
        <f>[6]nuc_h_t_b1!$C$14</f>
        <v>-45.902999999999999</v>
      </c>
      <c r="H19" s="9" t="str">
        <f>A19</f>
        <v>syls4</v>
      </c>
      <c r="I19" s="10">
        <f>B19+$G19</f>
        <v>465.83499999999998</v>
      </c>
      <c r="AC19" s="9" t="s">
        <v>17</v>
      </c>
    </row>
    <row r="20" spans="1:42" x14ac:dyDescent="0.3">
      <c r="AC20" s="9" t="s">
        <v>18</v>
      </c>
    </row>
    <row r="21" spans="1:42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>A21</f>
        <v>h_f0</v>
      </c>
      <c r="I21" s="9" t="str">
        <f>B21</f>
        <v>predicted</v>
      </c>
      <c r="AC21" s="9" t="s">
        <v>16</v>
      </c>
      <c r="AP21" t="s">
        <v>14</v>
      </c>
    </row>
    <row r="22" spans="1:42" x14ac:dyDescent="0.3">
      <c r="A22" s="2" t="str">
        <f>RIGHT([7]nuc_h_f0_b0!A2,5)</f>
        <v>syls1</v>
      </c>
      <c r="B22" s="2">
        <f>[7]nuc_h_f0_b0!B2</f>
        <v>87.010999999999996</v>
      </c>
      <c r="C22" s="2">
        <f>[7]nuc_h_f0_b0!C2</f>
        <v>83.812936749720905</v>
      </c>
      <c r="D22" s="2">
        <f>[7]nuc_h_f0_b0!D2</f>
        <v>90.209114999957194</v>
      </c>
      <c r="E22">
        <f>[7]nuc_h_f0_b0!E2</f>
        <v>1.474</v>
      </c>
      <c r="F22" s="9">
        <f t="shared" si="0"/>
        <v>3.1980632502790911</v>
      </c>
      <c r="G22" s="2">
        <f>[8]nuc_h_f0_b1!$C$14</f>
        <v>-0.627</v>
      </c>
      <c r="H22" s="9" t="str">
        <f>A22</f>
        <v>syls1</v>
      </c>
      <c r="I22" s="11">
        <f>B22+$G22</f>
        <v>86.384</v>
      </c>
    </row>
    <row r="23" spans="1:42" x14ac:dyDescent="0.3">
      <c r="A23" s="2" t="str">
        <f>RIGHT([7]nuc_h_f0_b0!A3,5)</f>
        <v>syls2</v>
      </c>
      <c r="B23" s="2">
        <f>[7]nuc_h_f0_b0!B3</f>
        <v>87.86</v>
      </c>
      <c r="C23" s="2">
        <f>[7]nuc_h_f0_b0!C3</f>
        <v>84.637322740845804</v>
      </c>
      <c r="D23" s="2">
        <f>[7]nuc_h_f0_b0!D3</f>
        <v>91.083653579654296</v>
      </c>
      <c r="E23">
        <f>[7]nuc_h_f0_b0!E3</f>
        <v>1.494</v>
      </c>
      <c r="F23" s="9">
        <f t="shared" si="0"/>
        <v>3.2226772591541959</v>
      </c>
      <c r="G23" s="2">
        <f>[8]nuc_h_f0_b1!$C$14</f>
        <v>-0.627</v>
      </c>
      <c r="H23" s="9" t="str">
        <f>A23</f>
        <v>syls2</v>
      </c>
      <c r="I23" s="11">
        <f>B23+$G23</f>
        <v>87.233000000000004</v>
      </c>
    </row>
    <row r="24" spans="1:42" x14ac:dyDescent="0.3">
      <c r="A24" s="2" t="str">
        <f>RIGHT([7]nuc_h_f0_b0!A4,5)</f>
        <v>syls3</v>
      </c>
      <c r="B24" s="2">
        <f>[7]nuc_h_f0_b0!B4</f>
        <v>89.311000000000007</v>
      </c>
      <c r="C24" s="2">
        <f>[7]nuc_h_f0_b0!C4</f>
        <v>86.113444446453798</v>
      </c>
      <c r="D24" s="2">
        <f>[7]nuc_h_f0_b0!D4</f>
        <v>92.509240100607599</v>
      </c>
      <c r="E24">
        <f>[7]nuc_h_f0_b0!E4</f>
        <v>1.474</v>
      </c>
      <c r="F24" s="9">
        <f t="shared" si="0"/>
        <v>3.1975555535462092</v>
      </c>
      <c r="G24" s="2">
        <f>[8]nuc_h_f0_b1!$C$14</f>
        <v>-0.627</v>
      </c>
      <c r="H24" s="9" t="str">
        <f>A24</f>
        <v>syls3</v>
      </c>
      <c r="I24" s="11">
        <f>B24+$G24</f>
        <v>88.684000000000012</v>
      </c>
    </row>
    <row r="25" spans="1:42" x14ac:dyDescent="0.3">
      <c r="A25" s="2" t="str">
        <f>RIGHT([7]nuc_h_f0_b0!A5,5)</f>
        <v>syls4</v>
      </c>
      <c r="B25" s="2">
        <f>[7]nuc_h_f0_b0!B5</f>
        <v>89.045000000000002</v>
      </c>
      <c r="C25" s="2">
        <f>[7]nuc_h_f0_b0!C5</f>
        <v>85.855845118067094</v>
      </c>
      <c r="D25" s="2">
        <f>[7]nuc_h_f0_b0!D5</f>
        <v>92.234440800827102</v>
      </c>
      <c r="E25">
        <f>[7]nuc_h_f0_b0!E5</f>
        <v>1.4670000000000001</v>
      </c>
      <c r="F25" s="9">
        <f t="shared" si="0"/>
        <v>3.1891548819329074</v>
      </c>
      <c r="G25" s="2">
        <f>[8]nuc_h_f0_b1!$C$14</f>
        <v>-0.627</v>
      </c>
      <c r="H25" s="9" t="str">
        <f>A25</f>
        <v>syls4</v>
      </c>
      <c r="I25" s="11">
        <f>B25+$G25</f>
        <v>88.418000000000006</v>
      </c>
    </row>
    <row r="28" spans="1:42" x14ac:dyDescent="0.3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>A28</f>
        <v>e_t</v>
      </c>
      <c r="I28" s="9" t="str">
        <f>B28</f>
        <v>predicted</v>
      </c>
    </row>
    <row r="29" spans="1:42" x14ac:dyDescent="0.3">
      <c r="A29" s="3" t="str">
        <f>RIGHT([9]nuc_e_t_b0!A2,5)</f>
        <v>syls1</v>
      </c>
      <c r="B29" s="3">
        <f>[9]nuc_e_t_b0!B2</f>
        <v>329.84500000000003</v>
      </c>
      <c r="C29" s="3">
        <f>[9]nuc_e_t_b0!C2</f>
        <v>268.75160486329003</v>
      </c>
      <c r="D29" s="3">
        <f>[9]nuc_e_t_b0!D2</f>
        <v>390.93891142532601</v>
      </c>
      <c r="E29">
        <f>[9]nuc_e_t_b0!E2</f>
        <v>22.425999999999998</v>
      </c>
      <c r="F29" s="9">
        <f t="shared" si="0"/>
        <v>61.093395136710001</v>
      </c>
      <c r="G29" s="3">
        <f>[10]nuc_e_t_b1!$C$15</f>
        <v>-5.8849999999999998</v>
      </c>
      <c r="H29" s="9" t="str">
        <f>A29</f>
        <v>syls1</v>
      </c>
      <c r="I29" s="10">
        <f>B29+$G29</f>
        <v>323.96000000000004</v>
      </c>
    </row>
    <row r="30" spans="1:42" x14ac:dyDescent="0.3">
      <c r="A30" s="3" t="str">
        <f>RIGHT([9]nuc_e_t_b0!A3,5)</f>
        <v>syls2</v>
      </c>
      <c r="B30" s="3">
        <f>[9]nuc_e_t_b0!B3</f>
        <v>340.50299999999999</v>
      </c>
      <c r="C30" s="3">
        <f>[9]nuc_e_t_b0!C3</f>
        <v>279.63086591409802</v>
      </c>
      <c r="D30" s="3">
        <f>[9]nuc_e_t_b0!D3</f>
        <v>401.37513369646399</v>
      </c>
      <c r="E30">
        <f>[9]nuc_e_t_b0!E3</f>
        <v>22.971</v>
      </c>
      <c r="F30" s="9">
        <f t="shared" si="0"/>
        <v>60.872134085901962</v>
      </c>
      <c r="G30" s="3">
        <f>[10]nuc_e_t_b1!$C$15</f>
        <v>-5.8849999999999998</v>
      </c>
      <c r="H30" s="9" t="str">
        <f>A30</f>
        <v>syls2</v>
      </c>
      <c r="I30" s="10">
        <f>B30+$G30</f>
        <v>334.61799999999999</v>
      </c>
    </row>
    <row r="31" spans="1:42" x14ac:dyDescent="0.3">
      <c r="A31" s="3" t="str">
        <f>RIGHT([9]nuc_e_t_b0!A4,5)</f>
        <v>syls3</v>
      </c>
      <c r="B31" s="3">
        <f>[9]nuc_e_t_b0!B4</f>
        <v>447.13099999999997</v>
      </c>
      <c r="C31" s="3">
        <f>[9]nuc_e_t_b0!C4</f>
        <v>386.027289249467</v>
      </c>
      <c r="D31" s="3">
        <f>[9]nuc_e_t_b0!D4</f>
        <v>508.23400111145997</v>
      </c>
      <c r="E31">
        <f>[9]nuc_e_t_b0!E4</f>
        <v>22.419</v>
      </c>
      <c r="F31" s="9">
        <f t="shared" si="0"/>
        <v>61.103710750532969</v>
      </c>
      <c r="G31" s="3">
        <f>[10]nuc_e_t_b1!$C$15</f>
        <v>-5.8849999999999998</v>
      </c>
      <c r="H31" s="9" t="str">
        <f>A31</f>
        <v>syls3</v>
      </c>
      <c r="I31" s="10">
        <f>B31+$G31</f>
        <v>441.24599999999998</v>
      </c>
    </row>
    <row r="32" spans="1:42" x14ac:dyDescent="0.3">
      <c r="A32" s="3" t="str">
        <f>RIGHT([9]nuc_e_t_b0!A5,5)</f>
        <v>syls4</v>
      </c>
      <c r="B32" s="3">
        <f>[9]nuc_e_t_b0!B5</f>
        <v>578.57100000000003</v>
      </c>
      <c r="C32" s="3">
        <f>[9]nuc_e_t_b0!C5</f>
        <v>517.22656341464995</v>
      </c>
      <c r="D32" s="3">
        <f>[9]nuc_e_t_b0!D5</f>
        <v>639.91445032859895</v>
      </c>
      <c r="E32">
        <f>[9]nuc_e_t_b0!E5</f>
        <v>22.268999999999998</v>
      </c>
      <c r="F32" s="9">
        <f t="shared" si="0"/>
        <v>61.344436585350081</v>
      </c>
      <c r="G32" s="3">
        <f>[10]nuc_e_t_b1!$C$15</f>
        <v>-5.8849999999999998</v>
      </c>
      <c r="H32" s="9" t="str">
        <f>A32</f>
        <v>syls4</v>
      </c>
      <c r="I32" s="10">
        <f>B32+$G32</f>
        <v>572.68600000000004</v>
      </c>
    </row>
    <row r="34" spans="1:25" x14ac:dyDescent="0.3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>A34</f>
        <v>e_f0</v>
      </c>
      <c r="I34" s="9" t="str">
        <f>B34</f>
        <v>predicted</v>
      </c>
      <c r="K34" s="4"/>
    </row>
    <row r="35" spans="1:25" x14ac:dyDescent="0.3">
      <c r="A35" s="2" t="str">
        <f>RIGHT([11]nuc_e_f0_b0!A2,5)</f>
        <v>syls1</v>
      </c>
      <c r="B35" s="2">
        <f>[11]nuc_e_f0_b0!B2</f>
        <v>86.513000000000005</v>
      </c>
      <c r="C35" s="2">
        <f>[11]nuc_e_f0_b0!C2</f>
        <v>82.942987311347594</v>
      </c>
      <c r="D35" s="2">
        <f>[11]nuc_e_f0_b0!D2</f>
        <v>90.083916880842807</v>
      </c>
      <c r="E35">
        <f>[11]nuc_e_f0_b0!E2</f>
        <v>1.657</v>
      </c>
      <c r="F35" s="9">
        <f t="shared" si="0"/>
        <v>3.5700126886524117</v>
      </c>
      <c r="G35" s="2">
        <f>[12]nuc_e_f0_b1!$C$14</f>
        <v>-5.5940000000000003</v>
      </c>
      <c r="H35" s="9" t="str">
        <f>A35</f>
        <v>syls1</v>
      </c>
      <c r="I35" s="11">
        <f>B35+$G35</f>
        <v>80.919000000000011</v>
      </c>
      <c r="K35" s="8"/>
    </row>
    <row r="36" spans="1:25" x14ac:dyDescent="0.3">
      <c r="A36" s="2" t="str">
        <f>RIGHT([11]nuc_e_f0_b0!A3,5)</f>
        <v>syls2</v>
      </c>
      <c r="B36" s="2">
        <f>[11]nuc_e_f0_b0!B3</f>
        <v>87.876000000000005</v>
      </c>
      <c r="C36" s="2">
        <f>[11]nuc_e_f0_b0!C3</f>
        <v>83.978487878292896</v>
      </c>
      <c r="D36" s="2">
        <f>[11]nuc_e_f0_b0!D3</f>
        <v>91.774390495953099</v>
      </c>
      <c r="E36">
        <f>[11]nuc_e_f0_b0!E3</f>
        <v>1.82</v>
      </c>
      <c r="F36" s="9">
        <f t="shared" si="0"/>
        <v>3.8975121217071091</v>
      </c>
      <c r="G36" s="2">
        <f>[12]nuc_e_f0_b1!$C$14</f>
        <v>-5.5940000000000003</v>
      </c>
      <c r="H36" s="9" t="str">
        <f>A36</f>
        <v>syls2</v>
      </c>
      <c r="I36" s="11">
        <f>B36+$G36</f>
        <v>82.282000000000011</v>
      </c>
      <c r="K36" s="7"/>
    </row>
    <row r="37" spans="1:25" x14ac:dyDescent="0.3">
      <c r="A37" s="2" t="str">
        <f>RIGHT([11]nuc_e_f0_b0!A4,5)</f>
        <v>syls3</v>
      </c>
      <c r="B37" s="2">
        <f>[11]nuc_e_f0_b0!B4</f>
        <v>88.182000000000002</v>
      </c>
      <c r="C37" s="2">
        <f>[11]nuc_e_f0_b0!C4</f>
        <v>84.611704368120996</v>
      </c>
      <c r="D37" s="2">
        <f>[11]nuc_e_f0_b0!D4</f>
        <v>91.752391507603406</v>
      </c>
      <c r="E37">
        <f>[11]nuc_e_f0_b0!E4</f>
        <v>1.657</v>
      </c>
      <c r="F37" s="9">
        <f t="shared" si="0"/>
        <v>3.5702956318790058</v>
      </c>
      <c r="G37" s="2">
        <f>[12]nuc_e_f0_b1!$C$14</f>
        <v>-5.5940000000000003</v>
      </c>
      <c r="H37" s="9" t="str">
        <f>A37</f>
        <v>syls3</v>
      </c>
      <c r="I37" s="11">
        <f>B37+$G37</f>
        <v>82.588000000000008</v>
      </c>
      <c r="K37" s="7"/>
    </row>
    <row r="38" spans="1:25" x14ac:dyDescent="0.3">
      <c r="A38" s="2" t="str">
        <f>RIGHT([11]nuc_e_f0_b0!A5,5)</f>
        <v>syls4</v>
      </c>
      <c r="B38" s="2">
        <f>[11]nuc_e_f0_b0!B5</f>
        <v>87.86</v>
      </c>
      <c r="C38" s="2">
        <f>[11]nuc_e_f0_b0!C5</f>
        <v>84.079309739199005</v>
      </c>
      <c r="D38" s="2">
        <f>[11]nuc_e_f0_b0!D5</f>
        <v>91.641026466987398</v>
      </c>
      <c r="E38">
        <f>[11]nuc_e_f0_b0!E5</f>
        <v>1.7649999999999999</v>
      </c>
      <c r="F38" s="9">
        <f t="shared" si="0"/>
        <v>3.7806902608009949</v>
      </c>
      <c r="G38" s="2">
        <f>[12]nuc_e_f0_b1!$C$14</f>
        <v>-5.5940000000000003</v>
      </c>
      <c r="H38" s="9" t="str">
        <f>A38</f>
        <v>syls4</v>
      </c>
      <c r="I38" s="11">
        <f>B38+$G38</f>
        <v>82.266000000000005</v>
      </c>
      <c r="K38" s="4"/>
      <c r="L38" s="4"/>
      <c r="M38" s="4"/>
      <c r="N38" s="4"/>
      <c r="O38" s="4"/>
      <c r="P38" s="4"/>
      <c r="Q38" s="4"/>
      <c r="R38" s="4"/>
      <c r="T38" s="4"/>
      <c r="U38" s="4"/>
      <c r="V38" s="4"/>
      <c r="W38" s="4"/>
      <c r="X38" s="4"/>
      <c r="Y38" s="4"/>
    </row>
    <row r="39" spans="1:25" x14ac:dyDescent="0.3">
      <c r="K39" s="4"/>
      <c r="L39" s="4"/>
      <c r="M39" s="4"/>
      <c r="N39" s="4"/>
      <c r="O39" s="6"/>
      <c r="P39" s="4"/>
      <c r="Q39" s="4"/>
      <c r="R39" s="4"/>
      <c r="T39" s="4"/>
      <c r="U39" s="4"/>
      <c r="V39" s="4"/>
      <c r="W39" s="4"/>
      <c r="X39" s="4"/>
      <c r="Y39" s="4"/>
    </row>
    <row r="40" spans="1:25" x14ac:dyDescent="0.3">
      <c r="K40" s="4"/>
      <c r="L40" s="4"/>
      <c r="M40" s="4"/>
      <c r="N40" s="4"/>
      <c r="O40" s="5"/>
      <c r="P40" s="4"/>
      <c r="Q40" s="4"/>
      <c r="R40" s="4"/>
      <c r="T40" s="4"/>
      <c r="U40" s="4"/>
      <c r="V40" s="4"/>
      <c r="W40" s="4"/>
      <c r="X40" s="4"/>
      <c r="Y4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5F69-373F-44A2-A665-2B3BA39B0604}">
  <dimension ref="A1:AP44"/>
  <sheetViews>
    <sheetView zoomScaleNormal="100" workbookViewId="0">
      <selection activeCell="I1" sqref="A1:I1048576"/>
    </sheetView>
  </sheetViews>
  <sheetFormatPr defaultRowHeight="14.4" x14ac:dyDescent="0.3"/>
  <cols>
    <col min="6" max="6" width="8.88671875" style="9"/>
    <col min="7" max="7" width="8.88671875" style="1"/>
    <col min="8" max="9" width="8.88671875" style="9"/>
  </cols>
  <sheetData>
    <row r="1" spans="1:9" x14ac:dyDescent="0.3">
      <c r="A1" t="s">
        <v>12</v>
      </c>
      <c r="G1" s="12" t="s">
        <v>13</v>
      </c>
    </row>
    <row r="2" spans="1:9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3">
      <c r="A3" s="3" t="str">
        <f>REPLACE([1]nuc_l_t_b0!A6,5,4,"")</f>
        <v>pre_0</v>
      </c>
      <c r="B3" s="3">
        <f>[1]nuc_l_t_b0!B6</f>
        <v>93.635000000000005</v>
      </c>
      <c r="C3" s="3">
        <f>[1]nuc_l_t_b0!C6</f>
        <v>46.535150306968099</v>
      </c>
      <c r="D3" s="3">
        <f>[1]nuc_l_t_b0!D6</f>
        <v>140.73555452220899</v>
      </c>
      <c r="E3">
        <f>[1]nuc_l_t_b0!E6</f>
        <v>15.606999999999999</v>
      </c>
      <c r="F3" s="9">
        <f>B3-C3</f>
        <v>47.099849693031906</v>
      </c>
      <c r="G3" s="3">
        <f>[2]nuc_l_t_b1!$C$14</f>
        <v>3.798</v>
      </c>
      <c r="H3" s="9" t="str">
        <f>A3</f>
        <v>pre_0</v>
      </c>
      <c r="I3" s="10">
        <f>B3+$G3</f>
        <v>97.433000000000007</v>
      </c>
    </row>
    <row r="4" spans="1:9" x14ac:dyDescent="0.3">
      <c r="A4" s="3" t="str">
        <f>REPLACE([1]nuc_l_t_b0!A7,5,4,"")</f>
        <v>pre_1</v>
      </c>
      <c r="B4" s="3">
        <f>[1]nuc_l_t_b0!B7</f>
        <v>85.861000000000004</v>
      </c>
      <c r="C4" s="3">
        <f>[1]nuc_l_t_b0!C7</f>
        <v>38.781974566796301</v>
      </c>
      <c r="D4" s="3">
        <f>[1]nuc_l_t_b0!D7</f>
        <v>132.94040870611801</v>
      </c>
      <c r="E4">
        <f>[1]nuc_l_t_b0!E7</f>
        <v>15.614000000000001</v>
      </c>
      <c r="F4" s="9">
        <f>B4-C4</f>
        <v>47.079025433203704</v>
      </c>
      <c r="G4" s="3">
        <f>[2]nuc_l_t_b1!$C$14</f>
        <v>3.798</v>
      </c>
      <c r="H4" s="9" t="str">
        <f>A4</f>
        <v>pre_1</v>
      </c>
      <c r="I4" s="10">
        <f>B4+$G4</f>
        <v>89.659000000000006</v>
      </c>
    </row>
    <row r="5" spans="1:9" x14ac:dyDescent="0.3">
      <c r="A5" s="3" t="str">
        <f>REPLACE([1]nuc_l_t_b0!A8,5,4,"")</f>
        <v>pre_2</v>
      </c>
      <c r="B5" s="3">
        <f>[1]nuc_l_t_b0!B8</f>
        <v>87.626999999999995</v>
      </c>
      <c r="C5" s="3">
        <f>[1]nuc_l_t_b0!C8</f>
        <v>40.517660234100902</v>
      </c>
      <c r="D5" s="3">
        <f>[1]nuc_l_t_b0!D8</f>
        <v>134.73665865599401</v>
      </c>
      <c r="E5">
        <f>[1]nuc_l_t_b0!E8</f>
        <v>15.596</v>
      </c>
      <c r="F5" s="9">
        <f>B5-C5</f>
        <v>47.109339765899094</v>
      </c>
      <c r="G5" s="3">
        <f>[2]nuc_l_t_b1!$C$14</f>
        <v>3.798</v>
      </c>
      <c r="H5" s="9" t="str">
        <f>A5</f>
        <v>pre_2</v>
      </c>
      <c r="I5" s="10">
        <f>B5+$G5</f>
        <v>91.424999999999997</v>
      </c>
    </row>
    <row r="6" spans="1:9" x14ac:dyDescent="0.3">
      <c r="A6" s="3" t="str">
        <f>REPLACE([1]nuc_l_t_b0!A9,5,4,"")</f>
        <v>pre_3</v>
      </c>
      <c r="B6" s="3">
        <f>[1]nuc_l_t_b0!B9</f>
        <v>80.147000000000006</v>
      </c>
      <c r="C6" s="3">
        <f>[1]nuc_l_t_b0!C9</f>
        <v>32.884653071971599</v>
      </c>
      <c r="D6" s="3">
        <f>[1]nuc_l_t_b0!D9</f>
        <v>127.408532022366</v>
      </c>
      <c r="E6">
        <f>[1]nuc_l_t_b0!E9</f>
        <v>15.544</v>
      </c>
      <c r="F6" s="9">
        <f>B6-C6</f>
        <v>47.262346928028407</v>
      </c>
      <c r="G6" s="3">
        <f>[2]nuc_l_t_b1!$C$14</f>
        <v>3.798</v>
      </c>
      <c r="H6" s="9" t="str">
        <f>A6</f>
        <v>pre_3</v>
      </c>
      <c r="I6" s="10">
        <f>B6+$G6</f>
        <v>83.945000000000007</v>
      </c>
    </row>
    <row r="8" spans="1:9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 t="shared" ref="H8:I11" si="0">A8</f>
        <v>l_f0</v>
      </c>
      <c r="I8" s="9" t="str">
        <f t="shared" si="0"/>
        <v>predicted</v>
      </c>
    </row>
    <row r="9" spans="1:9" x14ac:dyDescent="0.3">
      <c r="A9" t="str">
        <f>REPLACE([3]nuc_l_f0_b0!A6,5,4,"")</f>
        <v>pre_0</v>
      </c>
      <c r="B9" s="2">
        <f>[3]nuc_l_f0_b0!B6</f>
        <v>82.762</v>
      </c>
      <c r="C9" s="2">
        <f>[3]nuc_l_f0_b0!C6</f>
        <v>79.500185162119095</v>
      </c>
      <c r="D9" s="2">
        <f>[3]nuc_l_f0_b0!D6</f>
        <v>86.023843765545905</v>
      </c>
      <c r="E9">
        <f>[3]nuc_l_f0_b0!E6</f>
        <v>1.4750000000000001</v>
      </c>
      <c r="F9" s="9">
        <f t="shared" ref="F9:F38" si="1">B9-C9</f>
        <v>3.2618148378809053</v>
      </c>
      <c r="G9" s="2">
        <f>[4]nuc_l_f0_b1!$C$14</f>
        <v>-2.1999999999999999E-2</v>
      </c>
      <c r="H9" s="9" t="str">
        <f t="shared" si="0"/>
        <v>pre_0</v>
      </c>
      <c r="I9" s="11">
        <f>B9+$G9</f>
        <v>82.74</v>
      </c>
    </row>
    <row r="10" spans="1:9" x14ac:dyDescent="0.3">
      <c r="A10" t="str">
        <f>REPLACE([3]nuc_l_f0_b0!A7,5,4,"")</f>
        <v>pre_1</v>
      </c>
      <c r="B10" s="2">
        <f>[3]nuc_l_f0_b0!B7</f>
        <v>82.888000000000005</v>
      </c>
      <c r="C10" s="2">
        <f>[3]nuc_l_f0_b0!C7</f>
        <v>79.626029801380895</v>
      </c>
      <c r="D10" s="2">
        <f>[3]nuc_l_f0_b0!D7</f>
        <v>86.150470409638601</v>
      </c>
      <c r="E10">
        <f>[3]nuc_l_f0_b0!E7</f>
        <v>1.4750000000000001</v>
      </c>
      <c r="F10" s="9">
        <f t="shared" si="1"/>
        <v>3.2619701986191103</v>
      </c>
      <c r="G10" s="2">
        <f>[4]nuc_l_f0_b1!$C$14</f>
        <v>-2.1999999999999999E-2</v>
      </c>
      <c r="H10" s="9" t="str">
        <f t="shared" si="0"/>
        <v>pre_1</v>
      </c>
      <c r="I10" s="11">
        <f>B10+$G10</f>
        <v>82.866</v>
      </c>
    </row>
    <row r="11" spans="1:9" x14ac:dyDescent="0.3">
      <c r="A11" t="str">
        <f>REPLACE([3]nuc_l_f0_b0!A8,5,4,"")</f>
        <v>pre_2</v>
      </c>
      <c r="B11" s="2">
        <f>[3]nuc_l_f0_b0!B8</f>
        <v>82.617999999999995</v>
      </c>
      <c r="C11" s="2">
        <f>[3]nuc_l_f0_b0!C8</f>
        <v>79.340411908147004</v>
      </c>
      <c r="D11" s="2">
        <f>[3]nuc_l_f0_b0!D8</f>
        <v>85.896356246247393</v>
      </c>
      <c r="E11">
        <f>[3]nuc_l_f0_b0!E8</f>
        <v>1.4890000000000001</v>
      </c>
      <c r="F11" s="9">
        <f t="shared" si="1"/>
        <v>3.2775880918529907</v>
      </c>
      <c r="G11" s="2">
        <f>[4]nuc_l_f0_b1!$C$14</f>
        <v>-2.1999999999999999E-2</v>
      </c>
      <c r="H11" s="9" t="str">
        <f t="shared" si="0"/>
        <v>pre_2</v>
      </c>
      <c r="I11" s="11">
        <f>B11+$G11</f>
        <v>82.595999999999989</v>
      </c>
    </row>
    <row r="12" spans="1:9" x14ac:dyDescent="0.3">
      <c r="A12" t="str">
        <f>REPLACE([3]nuc_l_f0_b0!A9,5,4,"")</f>
        <v>pre_3</v>
      </c>
      <c r="B12" s="2">
        <f>[3]nuc_l_f0_b0!B9</f>
        <v>82.62</v>
      </c>
      <c r="C12" s="2">
        <f>[3]nuc_l_f0_b0!C9</f>
        <v>79.342228048400102</v>
      </c>
      <c r="D12" s="2">
        <f>[3]nuc_l_f0_b0!D9</f>
        <v>85.898284096217296</v>
      </c>
      <c r="E12">
        <f>[3]nuc_l_f0_b0!E9</f>
        <v>1.4890000000000001</v>
      </c>
      <c r="F12" s="9">
        <f t="shared" si="1"/>
        <v>3.2777719515999024</v>
      </c>
      <c r="G12" s="2">
        <f>[4]nuc_l_f0_b1!$C$14</f>
        <v>-2.1999999999999999E-2</v>
      </c>
      <c r="H12" s="9" t="str">
        <f>A12</f>
        <v>pre_3</v>
      </c>
      <c r="I12" s="11">
        <f>B12+$G12</f>
        <v>82.597999999999999</v>
      </c>
    </row>
    <row r="15" spans="1:9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 t="shared" ref="H15:I18" si="2">A15</f>
        <v>h_t</v>
      </c>
      <c r="I15" s="9" t="str">
        <f t="shared" si="2"/>
        <v>predicted</v>
      </c>
    </row>
    <row r="16" spans="1:9" x14ac:dyDescent="0.3">
      <c r="A16" t="str">
        <f>REPLACE([5]nuc_h_t_b0!A6,5,4,"")</f>
        <v>pre_0</v>
      </c>
      <c r="B16" s="3">
        <f>[5]nuc_h_t_b0!B6</f>
        <v>293.46300000000002</v>
      </c>
      <c r="C16" s="3">
        <f>[5]nuc_h_t_b0!C6</f>
        <v>242.539719864674</v>
      </c>
      <c r="D16" s="3">
        <f>[5]nuc_h_t_b0!D6</f>
        <v>344.38708694553497</v>
      </c>
      <c r="E16">
        <f>[5]nuc_h_t_b0!E6</f>
        <v>19.398</v>
      </c>
      <c r="F16" s="9">
        <f t="shared" si="1"/>
        <v>50.923280135326024</v>
      </c>
      <c r="G16" s="3">
        <f>[6]nuc_h_t_b1!$C$14</f>
        <v>-45.902999999999999</v>
      </c>
      <c r="H16" s="9" t="str">
        <f t="shared" si="2"/>
        <v>pre_0</v>
      </c>
      <c r="I16" s="10">
        <f>B16+$G16</f>
        <v>247.56000000000003</v>
      </c>
    </row>
    <row r="17" spans="1:42" x14ac:dyDescent="0.3">
      <c r="A17" t="str">
        <f>REPLACE([5]nuc_h_t_b0!A7,5,4,"")</f>
        <v>pre_1</v>
      </c>
      <c r="B17" s="3">
        <f>[5]nuc_h_t_b0!B7</f>
        <v>259.11200000000002</v>
      </c>
      <c r="C17" s="3">
        <f>[5]nuc_h_t_b0!C7</f>
        <v>208.19444919199901</v>
      </c>
      <c r="D17" s="3">
        <f>[5]nuc_h_t_b0!D7</f>
        <v>310.03017152940402</v>
      </c>
      <c r="E17">
        <f>[5]nuc_h_t_b0!E7</f>
        <v>19.405000000000001</v>
      </c>
      <c r="F17" s="9">
        <f t="shared" si="1"/>
        <v>50.91755080800101</v>
      </c>
      <c r="G17" s="3">
        <f>[6]nuc_h_t_b1!$C$14</f>
        <v>-45.902999999999999</v>
      </c>
      <c r="H17" s="9" t="str">
        <f t="shared" si="2"/>
        <v>pre_1</v>
      </c>
      <c r="I17" s="10">
        <f>B17+$G17</f>
        <v>213.20900000000003</v>
      </c>
    </row>
    <row r="18" spans="1:42" x14ac:dyDescent="0.3">
      <c r="A18" t="str">
        <f>REPLACE([5]nuc_h_t_b0!A8,5,4,"")</f>
        <v>pre_2</v>
      </c>
      <c r="B18" s="3">
        <f>[5]nuc_h_t_b0!B8</f>
        <v>254.43100000000001</v>
      </c>
      <c r="C18" s="3">
        <f>[5]nuc_h_t_b0!C8</f>
        <v>203.51336930373699</v>
      </c>
      <c r="D18" s="3">
        <f>[5]nuc_h_t_b0!D8</f>
        <v>305.34859198895202</v>
      </c>
      <c r="E18">
        <f>[5]nuc_h_t_b0!E8</f>
        <v>19.387</v>
      </c>
      <c r="F18" s="9">
        <f t="shared" si="1"/>
        <v>50.917630696263018</v>
      </c>
      <c r="G18" s="3">
        <f>[6]nuc_h_t_b1!$C$14</f>
        <v>-45.902999999999999</v>
      </c>
      <c r="H18" s="9" t="str">
        <f t="shared" si="2"/>
        <v>pre_2</v>
      </c>
      <c r="I18" s="10">
        <f>B18+$G18</f>
        <v>208.52800000000002</v>
      </c>
    </row>
    <row r="19" spans="1:42" x14ac:dyDescent="0.3">
      <c r="A19" t="str">
        <f>REPLACE([5]nuc_h_t_b0!A9,5,4,"")</f>
        <v>pre_3</v>
      </c>
      <c r="B19" s="3">
        <f>[5]nuc_h_t_b0!B9</f>
        <v>248.37100000000001</v>
      </c>
      <c r="C19" s="3">
        <f>[5]nuc_h_t_b0!C9</f>
        <v>197.41463871583599</v>
      </c>
      <c r="D19" s="3">
        <f>[5]nuc_h_t_b0!D9</f>
        <v>299.32649216050203</v>
      </c>
      <c r="E19">
        <f>[5]nuc_h_t_b0!E9</f>
        <v>19.335999999999999</v>
      </c>
      <c r="F19" s="9">
        <f t="shared" si="1"/>
        <v>50.956361284164018</v>
      </c>
      <c r="G19" s="3">
        <f>[6]nuc_h_t_b1!$C$14</f>
        <v>-45.902999999999999</v>
      </c>
      <c r="H19" s="9" t="str">
        <f>A19</f>
        <v>pre_3</v>
      </c>
      <c r="I19" s="10">
        <f>B19+$G19</f>
        <v>202.46800000000002</v>
      </c>
    </row>
    <row r="21" spans="1:42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 t="shared" ref="H21:I24" si="3">A21</f>
        <v>h_f0</v>
      </c>
      <c r="I21" s="9" t="str">
        <f t="shared" si="3"/>
        <v>predicted</v>
      </c>
      <c r="AP21" t="s">
        <v>14</v>
      </c>
    </row>
    <row r="22" spans="1:42" x14ac:dyDescent="0.3">
      <c r="A22" t="str">
        <f>REPLACE([7]nuc_h_f0_b0!A6,5,4,"")</f>
        <v>pre_0</v>
      </c>
      <c r="B22" s="2">
        <f>[7]nuc_h_f0_b0!B6</f>
        <v>87.010999999999996</v>
      </c>
      <c r="C22" s="2">
        <f>[7]nuc_h_f0_b0!C6</f>
        <v>83.812936749720905</v>
      </c>
      <c r="D22" s="2">
        <f>[7]nuc_h_f0_b0!D6</f>
        <v>90.209114999957194</v>
      </c>
      <c r="E22">
        <f>[7]nuc_h_f0_b0!E6</f>
        <v>1.474</v>
      </c>
      <c r="F22" s="9">
        <f t="shared" si="1"/>
        <v>3.1980632502790911</v>
      </c>
      <c r="G22" s="2">
        <f>[8]nuc_h_f0_b1!$C$14</f>
        <v>-0.627</v>
      </c>
      <c r="H22" s="9" t="str">
        <f t="shared" si="3"/>
        <v>pre_0</v>
      </c>
      <c r="I22" s="11">
        <f>B22+$G22</f>
        <v>86.384</v>
      </c>
    </row>
    <row r="23" spans="1:42" x14ac:dyDescent="0.3">
      <c r="A23" t="str">
        <f>REPLACE([7]nuc_h_f0_b0!A7,5,4,"")</f>
        <v>pre_1</v>
      </c>
      <c r="B23" s="2">
        <f>[7]nuc_h_f0_b0!B7</f>
        <v>87.822999999999993</v>
      </c>
      <c r="C23" s="2">
        <f>[7]nuc_h_f0_b0!C7</f>
        <v>84.624393594063605</v>
      </c>
      <c r="D23" s="2">
        <f>[7]nuc_h_f0_b0!D7</f>
        <v>91.021819622201704</v>
      </c>
      <c r="E23">
        <f>[7]nuc_h_f0_b0!E7</f>
        <v>1.474</v>
      </c>
      <c r="F23" s="9">
        <f t="shared" si="1"/>
        <v>3.1986064059363883</v>
      </c>
      <c r="G23" s="2">
        <f>[8]nuc_h_f0_b1!$C$14</f>
        <v>-0.627</v>
      </c>
      <c r="H23" s="9" t="str">
        <f t="shared" si="3"/>
        <v>pre_1</v>
      </c>
      <c r="I23" s="11">
        <f>B23+$G23</f>
        <v>87.195999999999998</v>
      </c>
    </row>
    <row r="24" spans="1:42" x14ac:dyDescent="0.3">
      <c r="A24" t="str">
        <f>REPLACE([7]nuc_h_f0_b0!A8,5,4,"")</f>
        <v>pre_2</v>
      </c>
      <c r="B24" s="2">
        <f>[7]nuc_h_f0_b0!B8</f>
        <v>87.759</v>
      </c>
      <c r="C24" s="2">
        <f>[7]nuc_h_f0_b0!C8</f>
        <v>84.560430840817205</v>
      </c>
      <c r="D24" s="2">
        <f>[7]nuc_h_f0_b0!D8</f>
        <v>90.957321332276706</v>
      </c>
      <c r="E24">
        <f>[7]nuc_h_f0_b0!E8</f>
        <v>1.474</v>
      </c>
      <c r="F24" s="9">
        <f t="shared" si="1"/>
        <v>3.1985691591827958</v>
      </c>
      <c r="G24" s="2">
        <f>[8]nuc_h_f0_b1!$C$14</f>
        <v>-0.627</v>
      </c>
      <c r="H24" s="9" t="str">
        <f t="shared" si="3"/>
        <v>pre_2</v>
      </c>
      <c r="I24" s="11">
        <f>B24+$G24</f>
        <v>87.132000000000005</v>
      </c>
    </row>
    <row r="25" spans="1:42" x14ac:dyDescent="0.3">
      <c r="A25" t="str">
        <f>REPLACE([7]nuc_h_f0_b0!A9,5,4,"")</f>
        <v>pre_3</v>
      </c>
      <c r="B25" s="2">
        <f>[7]nuc_h_f0_b0!B9</f>
        <v>88.149000000000001</v>
      </c>
      <c r="C25" s="2">
        <f>[7]nuc_h_f0_b0!C9</f>
        <v>84.952252780567804</v>
      </c>
      <c r="D25" s="2">
        <f>[7]nuc_h_f0_b0!D9</f>
        <v>91.344935136713104</v>
      </c>
      <c r="E25">
        <f>[7]nuc_h_f0_b0!E9</f>
        <v>1.4730000000000001</v>
      </c>
      <c r="F25" s="9">
        <f t="shared" si="1"/>
        <v>3.1967472194321971</v>
      </c>
      <c r="G25" s="2">
        <f>[8]nuc_h_f0_b1!$C$14</f>
        <v>-0.627</v>
      </c>
      <c r="H25" s="9" t="str">
        <f>A25</f>
        <v>pre_3</v>
      </c>
      <c r="I25" s="11">
        <f>B25+$G25</f>
        <v>87.522000000000006</v>
      </c>
    </row>
    <row r="28" spans="1:42" x14ac:dyDescent="0.3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 t="shared" ref="H28:I31" si="4">A28</f>
        <v>e_t</v>
      </c>
      <c r="I28" s="9" t="str">
        <f t="shared" si="4"/>
        <v>predicted</v>
      </c>
    </row>
    <row r="29" spans="1:42" x14ac:dyDescent="0.3">
      <c r="A29" t="str">
        <f>REPLACE([9]nuc_e_t_b0!A6,5,4,"")</f>
        <v>pre_0</v>
      </c>
      <c r="B29" s="3">
        <f>[9]nuc_e_t_b0!B6</f>
        <v>329.84500000000003</v>
      </c>
      <c r="C29" s="3">
        <f>[9]nuc_e_t_b0!C6</f>
        <v>268.75160486329003</v>
      </c>
      <c r="D29" s="3">
        <f>[9]nuc_e_t_b0!D6</f>
        <v>390.93891142532601</v>
      </c>
      <c r="E29">
        <f>[9]nuc_e_t_b0!E6</f>
        <v>22.425999999999998</v>
      </c>
      <c r="F29" s="9">
        <f t="shared" si="1"/>
        <v>61.093395136710001</v>
      </c>
      <c r="G29" s="3">
        <f>[10]nuc_e_t_b1!$C$15</f>
        <v>-5.8849999999999998</v>
      </c>
      <c r="H29" s="9" t="str">
        <f t="shared" si="4"/>
        <v>pre_0</v>
      </c>
      <c r="I29" s="10">
        <f>B29+$G29</f>
        <v>323.96000000000004</v>
      </c>
    </row>
    <row r="30" spans="1:42" x14ac:dyDescent="0.3">
      <c r="A30" t="str">
        <f>REPLACE([9]nuc_e_t_b0!A7,5,4,"")</f>
        <v>pre_1</v>
      </c>
      <c r="B30" s="3">
        <f>[9]nuc_e_t_b0!B7</f>
        <v>298.947</v>
      </c>
      <c r="C30" s="3">
        <f>[9]nuc_e_t_b0!C7</f>
        <v>237.86020420813699</v>
      </c>
      <c r="D30" s="3">
        <f>[9]nuc_e_t_b0!D7</f>
        <v>360.03392051677798</v>
      </c>
      <c r="E30">
        <f>[9]nuc_e_t_b0!E7</f>
        <v>22.431000000000001</v>
      </c>
      <c r="F30" s="9">
        <f t="shared" si="1"/>
        <v>61.086795791863011</v>
      </c>
      <c r="G30" s="3">
        <f>[10]nuc_e_t_b1!$C$15</f>
        <v>-5.8849999999999998</v>
      </c>
      <c r="H30" s="9" t="str">
        <f t="shared" si="4"/>
        <v>pre_1</v>
      </c>
      <c r="I30" s="10">
        <f>B30+$G30</f>
        <v>293.06200000000001</v>
      </c>
    </row>
    <row r="31" spans="1:42" x14ac:dyDescent="0.3">
      <c r="A31" t="str">
        <f>REPLACE([9]nuc_e_t_b0!A8,5,4,"")</f>
        <v>pre_2</v>
      </c>
      <c r="B31" s="3">
        <f>[9]nuc_e_t_b0!B8</f>
        <v>299.78699999999998</v>
      </c>
      <c r="C31" s="3">
        <f>[9]nuc_e_t_b0!C8</f>
        <v>238.687936640103</v>
      </c>
      <c r="D31" s="3">
        <f>[9]nuc_e_t_b0!D8</f>
        <v>360.88680264748302</v>
      </c>
      <c r="E31">
        <f>[9]nuc_e_t_b0!E8</f>
        <v>22.417999999999999</v>
      </c>
      <c r="F31" s="9">
        <f t="shared" si="1"/>
        <v>61.099063359896974</v>
      </c>
      <c r="G31" s="3">
        <f>[10]nuc_e_t_b1!$C$15</f>
        <v>-5.8849999999999998</v>
      </c>
      <c r="H31" s="9" t="str">
        <f t="shared" si="4"/>
        <v>pre_2</v>
      </c>
      <c r="I31" s="10">
        <f>B31+$G31</f>
        <v>293.90199999999999</v>
      </c>
    </row>
    <row r="32" spans="1:42" x14ac:dyDescent="0.3">
      <c r="A32" t="str">
        <f>REPLACE([9]nuc_e_t_b0!A9,5,4,"")</f>
        <v>pre_3</v>
      </c>
      <c r="B32" s="3">
        <f>[9]nuc_e_t_b0!B9</f>
        <v>294.57799999999997</v>
      </c>
      <c r="C32" s="3">
        <f>[9]nuc_e_t_b0!C9</f>
        <v>233.41167249980299</v>
      </c>
      <c r="D32" s="3">
        <f>[9]nuc_e_t_b0!D9</f>
        <v>355.745229402809</v>
      </c>
      <c r="E32">
        <f>[9]nuc_e_t_b0!E9</f>
        <v>22.364999999999998</v>
      </c>
      <c r="F32" s="9">
        <f t="shared" si="1"/>
        <v>61.166327500196985</v>
      </c>
      <c r="G32" s="3">
        <f>[10]nuc_e_t_b1!$C$15</f>
        <v>-5.8849999999999998</v>
      </c>
      <c r="H32" s="9" t="str">
        <f>A32</f>
        <v>pre_3</v>
      </c>
      <c r="I32" s="10">
        <f>B32+$G32</f>
        <v>288.69299999999998</v>
      </c>
    </row>
    <row r="34" spans="1:25" x14ac:dyDescent="0.3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 t="shared" ref="H34:I37" si="5">A34</f>
        <v>e_f0</v>
      </c>
      <c r="I34" s="9" t="str">
        <f t="shared" si="5"/>
        <v>predicted</v>
      </c>
      <c r="K34" s="4"/>
    </row>
    <row r="35" spans="1:25" x14ac:dyDescent="0.3">
      <c r="A35" t="str">
        <f>REPLACE([11]nuc_e_f0_b0!A6,5,4,"")</f>
        <v>pre_0</v>
      </c>
      <c r="B35" s="2">
        <f>[11]nuc_e_f0_b0!B6</f>
        <v>86.513000000000005</v>
      </c>
      <c r="C35" s="2">
        <f>[11]nuc_e_f0_b0!C6</f>
        <v>82.942987311347594</v>
      </c>
      <c r="D35" s="2">
        <f>[11]nuc_e_f0_b0!D6</f>
        <v>90.083916880842807</v>
      </c>
      <c r="E35">
        <f>[11]nuc_e_f0_b0!E6</f>
        <v>1.657</v>
      </c>
      <c r="F35" s="9">
        <f t="shared" si="1"/>
        <v>3.5700126886524117</v>
      </c>
      <c r="G35" s="2">
        <f>[12]nuc_e_f0_b1!$C$14</f>
        <v>-5.5940000000000003</v>
      </c>
      <c r="H35" s="9" t="str">
        <f t="shared" si="5"/>
        <v>pre_0</v>
      </c>
      <c r="I35" s="11">
        <f>B35+$G35</f>
        <v>80.919000000000011</v>
      </c>
      <c r="K35" s="8"/>
    </row>
    <row r="36" spans="1:25" x14ac:dyDescent="0.3">
      <c r="A36" t="str">
        <f>REPLACE([11]nuc_e_f0_b0!A7,5,4,"")</f>
        <v>pre_1</v>
      </c>
      <c r="B36" s="2">
        <f>[11]nuc_e_f0_b0!B7</f>
        <v>87.019000000000005</v>
      </c>
      <c r="C36" s="2">
        <f>[11]nuc_e_f0_b0!C7</f>
        <v>83.448041266181704</v>
      </c>
      <c r="D36" s="2">
        <f>[11]nuc_e_f0_b0!D7</f>
        <v>90.590593697609606</v>
      </c>
      <c r="E36">
        <f>[11]nuc_e_f0_b0!E7</f>
        <v>1.6579999999999999</v>
      </c>
      <c r="F36" s="9">
        <f t="shared" si="1"/>
        <v>3.5709587338183013</v>
      </c>
      <c r="G36" s="2">
        <f>[12]nuc_e_f0_b1!$C$14</f>
        <v>-5.5940000000000003</v>
      </c>
      <c r="H36" s="9" t="str">
        <f t="shared" si="5"/>
        <v>pre_1</v>
      </c>
      <c r="I36" s="11">
        <f>B36+$G36</f>
        <v>81.425000000000011</v>
      </c>
      <c r="K36" s="7"/>
    </row>
    <row r="37" spans="1:25" x14ac:dyDescent="0.3">
      <c r="A37" t="str">
        <f>REPLACE([11]nuc_e_f0_b0!A8,5,4,"")</f>
        <v>pre_2</v>
      </c>
      <c r="B37" s="2">
        <f>[11]nuc_e_f0_b0!B8</f>
        <v>86.739000000000004</v>
      </c>
      <c r="C37" s="2">
        <f>[11]nuc_e_f0_b0!C8</f>
        <v>83.009392640188594</v>
      </c>
      <c r="D37" s="2">
        <f>[11]nuc_e_f0_b0!D8</f>
        <v>90.468303578422393</v>
      </c>
      <c r="E37">
        <f>[11]nuc_e_f0_b0!E8</f>
        <v>1.742</v>
      </c>
      <c r="F37" s="9">
        <f t="shared" si="1"/>
        <v>3.7296073598114106</v>
      </c>
      <c r="G37" s="2">
        <f>[12]nuc_e_f0_b1!$C$14</f>
        <v>-5.5940000000000003</v>
      </c>
      <c r="H37" s="9" t="str">
        <f t="shared" si="5"/>
        <v>pre_2</v>
      </c>
      <c r="I37" s="11">
        <f>B37+$G37</f>
        <v>81.14500000000001</v>
      </c>
      <c r="K37" s="7"/>
    </row>
    <row r="38" spans="1:25" x14ac:dyDescent="0.3">
      <c r="A38" t="str">
        <f>REPLACE([11]nuc_e_f0_b0!A9,5,4,"")</f>
        <v>pre_3</v>
      </c>
      <c r="B38" s="2">
        <f>[11]nuc_e_f0_b0!B9</f>
        <v>86.736000000000004</v>
      </c>
      <c r="C38" s="2">
        <f>[11]nuc_e_f0_b0!C9</f>
        <v>83.006381982088996</v>
      </c>
      <c r="D38" s="2">
        <f>[11]nuc_e_f0_b0!D9</f>
        <v>90.465710226183901</v>
      </c>
      <c r="E38">
        <f>[11]nuc_e_f0_b0!E9</f>
        <v>1.7430000000000001</v>
      </c>
      <c r="F38" s="9">
        <f t="shared" si="1"/>
        <v>3.7296180179110081</v>
      </c>
      <c r="G38" s="2">
        <f>[12]nuc_e_f0_b1!$C$14</f>
        <v>-5.5940000000000003</v>
      </c>
      <c r="H38" s="9" t="str">
        <f>A38</f>
        <v>pre_3</v>
      </c>
      <c r="I38" s="11">
        <f>B38+$G38</f>
        <v>81.14200000000001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3">
      <c r="K39" s="4"/>
      <c r="L39" s="4"/>
      <c r="M39" s="4"/>
      <c r="N39" s="4"/>
      <c r="O39" s="6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3">
      <c r="K40" s="4"/>
      <c r="L40" s="4"/>
      <c r="M40" s="4"/>
      <c r="N40" s="4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3">
      <c r="I41" s="9" t="s">
        <v>15</v>
      </c>
    </row>
    <row r="42" spans="1:25" x14ac:dyDescent="0.3">
      <c r="I42" s="9" t="s">
        <v>17</v>
      </c>
    </row>
    <row r="43" spans="1:25" x14ac:dyDescent="0.3">
      <c r="I43" s="9" t="s">
        <v>18</v>
      </c>
    </row>
    <row r="44" spans="1:25" x14ac:dyDescent="0.3">
      <c r="I44" s="9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FA70-B8BE-49C5-9F6E-7E44BDE296A5}">
  <dimension ref="A1:T49"/>
  <sheetViews>
    <sheetView zoomScale="115" zoomScaleNormal="115" workbookViewId="0">
      <selection activeCell="A5" sqref="A5"/>
    </sheetView>
  </sheetViews>
  <sheetFormatPr defaultRowHeight="14.4" x14ac:dyDescent="0.3"/>
  <cols>
    <col min="4" max="4" width="11" bestFit="1" customWidth="1"/>
  </cols>
  <sheetData>
    <row r="1" spans="1:19" x14ac:dyDescent="0.3">
      <c r="A1" t="s">
        <v>19</v>
      </c>
      <c r="B1" t="str">
        <f>B7</f>
        <v>predicted</v>
      </c>
      <c r="C1" t="str">
        <f>C7</f>
        <v>conf.low</v>
      </c>
      <c r="D1" t="str">
        <f>D7</f>
        <v>conf.high</v>
      </c>
      <c r="E1" t="str">
        <f>E7</f>
        <v>std.error</v>
      </c>
      <c r="F1" t="str">
        <f>F7</f>
        <v>CI diff</v>
      </c>
    </row>
    <row r="2" spans="1:19" x14ac:dyDescent="0.3">
      <c r="A2" s="3" t="str">
        <f>RIGHT([13]nuc_f0_exc_b0!A2,5)</f>
        <v>syls1</v>
      </c>
      <c r="B2" s="1">
        <f>[13]nuc_f0_exc_b0!B2</f>
        <v>3.41</v>
      </c>
      <c r="C2" s="1">
        <f>[13]nuc_f0_exc_b0!C2</f>
        <v>1.0465079691707899</v>
      </c>
      <c r="D2" s="1">
        <f>[13]nuc_f0_exc_b0!D2</f>
        <v>5.7741236262001197</v>
      </c>
      <c r="E2" s="1">
        <f>[13]nuc_f0_exc_b0!E2</f>
        <v>0.99099999999999999</v>
      </c>
      <c r="F2" s="13">
        <f t="shared" ref="F2:F5" si="0">B2-C2</f>
        <v>2.3634920308292102</v>
      </c>
      <c r="R2" s="42" t="s">
        <v>24</v>
      </c>
      <c r="S2" s="43"/>
    </row>
    <row r="3" spans="1:19" x14ac:dyDescent="0.3">
      <c r="A3" s="3" t="str">
        <f>RIGHT([13]nuc_f0_exc_b0!A3,5)</f>
        <v>syls2</v>
      </c>
      <c r="B3" s="1">
        <f>[13]nuc_f0_exc_b0!B3</f>
        <v>3.8130000000000002</v>
      </c>
      <c r="C3" s="1">
        <f>[13]nuc_f0_exc_b0!C3</f>
        <v>0.327695027354025</v>
      </c>
      <c r="D3" s="1">
        <f>[13]nuc_f0_exc_b0!D3</f>
        <v>7.2978740200461401</v>
      </c>
      <c r="E3" s="1">
        <f>[13]nuc_f0_exc_b0!E3</f>
        <v>1.403</v>
      </c>
      <c r="F3" s="13">
        <f t="shared" si="0"/>
        <v>3.4853049726459751</v>
      </c>
      <c r="R3" s="44" t="s">
        <v>25</v>
      </c>
      <c r="S3" s="45"/>
    </row>
    <row r="4" spans="1:19" x14ac:dyDescent="0.3">
      <c r="A4" s="3" t="str">
        <f>RIGHT([13]nuc_f0_exc_b0!A4,5)</f>
        <v>syls3</v>
      </c>
      <c r="B4" s="1">
        <f>[13]nuc_f0_exc_b0!B4</f>
        <v>5.327</v>
      </c>
      <c r="C4" s="1">
        <f>[13]nuc_f0_exc_b0!C4</f>
        <v>2.96288825402962</v>
      </c>
      <c r="D4" s="1">
        <f>[13]nuc_f0_exc_b0!D4</f>
        <v>7.6904308795327303</v>
      </c>
      <c r="E4" s="1">
        <f>[13]nuc_f0_exc_b0!E4</f>
        <v>0.99099999999999999</v>
      </c>
      <c r="F4" s="13">
        <f t="shared" si="0"/>
        <v>2.36411174597038</v>
      </c>
    </row>
    <row r="5" spans="1:19" x14ac:dyDescent="0.3">
      <c r="A5" s="3" t="str">
        <f>RIGHT([13]nuc_f0_exc_b0!A5,5)</f>
        <v>syls4</v>
      </c>
      <c r="B5" s="1">
        <f>[13]nuc_f0_exc_b0!B5</f>
        <v>4.9210000000000003</v>
      </c>
      <c r="C5" s="1">
        <f>[13]nuc_f0_exc_b0!C5</f>
        <v>1.7677504068610499</v>
      </c>
      <c r="D5" s="1">
        <f>[13]nuc_f0_exc_b0!D5</f>
        <v>8.0743504016799399</v>
      </c>
      <c r="E5" s="1">
        <f>[13]nuc_f0_exc_b0!E5</f>
        <v>1.2789999999999999</v>
      </c>
      <c r="F5" s="13">
        <f t="shared" si="0"/>
        <v>3.1532495931389501</v>
      </c>
    </row>
    <row r="6" spans="1:19" x14ac:dyDescent="0.3">
      <c r="B6" s="1"/>
      <c r="C6" s="1"/>
      <c r="D6" s="1"/>
      <c r="E6" s="1"/>
      <c r="F6" s="13"/>
    </row>
    <row r="7" spans="1:19" x14ac:dyDescent="0.3">
      <c r="A7" t="s">
        <v>20</v>
      </c>
      <c r="B7" s="1" t="str">
        <f>'nuc foot'!B34</f>
        <v>predicted</v>
      </c>
      <c r="C7" s="1" t="str">
        <f>'nuc foot'!C34</f>
        <v>conf.low</v>
      </c>
      <c r="D7" s="1" t="str">
        <f>'nuc foot'!D34</f>
        <v>conf.high</v>
      </c>
      <c r="E7" s="1" t="str">
        <f>'nuc foot'!E34</f>
        <v>std.error</v>
      </c>
      <c r="F7" t="str">
        <f>'nuc foot'!F34</f>
        <v>CI diff</v>
      </c>
    </row>
    <row r="8" spans="1:19" x14ac:dyDescent="0.3">
      <c r="A8" s="3" t="str">
        <f>RIGHT([14]nuc_lh_slope_b0!A2,5)</f>
        <v>syls1</v>
      </c>
      <c r="B8" s="1">
        <f>[14]nuc_lh_slope_b0!B2</f>
        <v>3.2069999999999999</v>
      </c>
      <c r="C8" s="1">
        <f>[14]nuc_lh_slope_b0!C2</f>
        <v>2.4934475520662298</v>
      </c>
      <c r="D8" s="1">
        <f>[14]nuc_lh_slope_b0!D2</f>
        <v>3.9212622531503398</v>
      </c>
      <c r="E8" s="1">
        <f>[14]nuc_lh_slope_b0!E2</f>
        <v>0.18099999999999999</v>
      </c>
      <c r="F8" s="13">
        <f>B8-C8</f>
        <v>0.71355244793377004</v>
      </c>
    </row>
    <row r="9" spans="1:19" x14ac:dyDescent="0.3">
      <c r="A9" s="3" t="str">
        <f>RIGHT([14]nuc_lh_slope_b0!A3,5)</f>
        <v>syls2</v>
      </c>
      <c r="B9" s="1">
        <f>[14]nuc_lh_slope_b0!B3</f>
        <v>3.1840000000000002</v>
      </c>
      <c r="C9" s="1">
        <f>[14]nuc_lh_slope_b0!C3</f>
        <v>2.5724256577208999</v>
      </c>
      <c r="D9" s="1">
        <f>[14]nuc_lh_slope_b0!D3</f>
        <v>3.7953048673969798</v>
      </c>
      <c r="E9" s="1">
        <f>[14]nuc_lh_slope_b0!E3</f>
        <v>0.247</v>
      </c>
      <c r="F9" s="13">
        <f>B9-C9</f>
        <v>0.61157434227910024</v>
      </c>
    </row>
    <row r="10" spans="1:19" x14ac:dyDescent="0.3">
      <c r="A10" s="3" t="str">
        <f>RIGHT([14]nuc_lh_slope_b0!A4,5)</f>
        <v>syls3</v>
      </c>
      <c r="B10" s="1">
        <f>[14]nuc_lh_slope_b0!B4</f>
        <v>3.0779999999999998</v>
      </c>
      <c r="C10" s="1">
        <f>[14]nuc_lh_slope_b0!C4</f>
        <v>2.3662342327233401</v>
      </c>
      <c r="D10" s="1">
        <f>[14]nuc_lh_slope_b0!D4</f>
        <v>3.7895801851745201</v>
      </c>
      <c r="E10" s="1">
        <f>[14]nuc_lh_slope_b0!E4</f>
        <v>0.18099999999999999</v>
      </c>
      <c r="F10" s="13">
        <f>B10-C10</f>
        <v>0.71176576727665974</v>
      </c>
    </row>
    <row r="11" spans="1:19" x14ac:dyDescent="0.3">
      <c r="A11" s="3" t="str">
        <f>RIGHT([14]nuc_lh_slope_b0!A5,5)</f>
        <v>syls4</v>
      </c>
      <c r="B11" s="1">
        <f>[14]nuc_lh_slope_b0!B5</f>
        <v>2.4980000000000002</v>
      </c>
      <c r="C11" s="1">
        <f>[14]nuc_lh_slope_b0!C5</f>
        <v>1.9410342573963999</v>
      </c>
      <c r="D11" s="1">
        <f>[14]nuc_lh_slope_b0!D5</f>
        <v>3.0552407580702399</v>
      </c>
      <c r="E11" s="1">
        <f>[14]nuc_lh_slope_b0!E5</f>
        <v>0.22700000000000001</v>
      </c>
      <c r="F11" s="13">
        <f>B11-C11</f>
        <v>0.55696574260360032</v>
      </c>
    </row>
    <row r="13" spans="1:19" x14ac:dyDescent="0.3">
      <c r="B13" t="s">
        <v>21</v>
      </c>
      <c r="C13" t="s">
        <v>22</v>
      </c>
    </row>
    <row r="14" spans="1:19" x14ac:dyDescent="0.3">
      <c r="A14" s="3" t="str">
        <f>A15</f>
        <v>syls1</v>
      </c>
      <c r="B14">
        <v>0</v>
      </c>
      <c r="C14" s="1">
        <v>0</v>
      </c>
      <c r="D14" s="2">
        <f>C14</f>
        <v>0</v>
      </c>
    </row>
    <row r="15" spans="1:19" x14ac:dyDescent="0.3">
      <c r="A15" s="3" t="str">
        <f>A8</f>
        <v>syls1</v>
      </c>
      <c r="B15">
        <v>1</v>
      </c>
      <c r="C15" s="1">
        <f>B8</f>
        <v>3.2069999999999999</v>
      </c>
      <c r="D15" s="2">
        <f>EXP(C15)</f>
        <v>24.70486036037963</v>
      </c>
    </row>
    <row r="16" spans="1:19" x14ac:dyDescent="0.3">
      <c r="A16" s="3" t="str">
        <f>A17</f>
        <v>syls2</v>
      </c>
      <c r="B16">
        <v>0</v>
      </c>
      <c r="C16" s="1">
        <v>0</v>
      </c>
      <c r="D16" s="2">
        <f t="shared" ref="D16" si="1">C16</f>
        <v>0</v>
      </c>
      <c r="E16" s="2"/>
      <c r="F16" s="13"/>
    </row>
    <row r="17" spans="1:20" x14ac:dyDescent="0.3">
      <c r="A17" s="3" t="str">
        <f>A9</f>
        <v>syls2</v>
      </c>
      <c r="B17">
        <f>B15</f>
        <v>1</v>
      </c>
      <c r="C17" s="1">
        <f>B9</f>
        <v>3.1840000000000002</v>
      </c>
      <c r="D17" s="2">
        <f t="shared" ref="D17" si="2">EXP(C17)</f>
        <v>24.143133197056581</v>
      </c>
      <c r="E17" s="2"/>
      <c r="F17" s="13"/>
    </row>
    <row r="18" spans="1:20" x14ac:dyDescent="0.3">
      <c r="A18" s="3" t="str">
        <f>A19</f>
        <v>syls3</v>
      </c>
      <c r="B18">
        <v>0</v>
      </c>
      <c r="C18" s="1">
        <v>0</v>
      </c>
      <c r="D18" s="2">
        <f t="shared" ref="D18" si="3">C18</f>
        <v>0</v>
      </c>
      <c r="E18" s="2"/>
      <c r="F18" s="13"/>
    </row>
    <row r="19" spans="1:20" x14ac:dyDescent="0.3">
      <c r="A19" s="3" t="str">
        <f>A10</f>
        <v>syls3</v>
      </c>
      <c r="B19">
        <f>B17</f>
        <v>1</v>
      </c>
      <c r="C19" s="1">
        <f>B10</f>
        <v>3.0779999999999998</v>
      </c>
      <c r="D19" s="2">
        <f t="shared" ref="D19" si="4">EXP(C19)</f>
        <v>21.714929079212769</v>
      </c>
      <c r="E19" s="2"/>
      <c r="F19" s="13"/>
      <c r="T19" t="s">
        <v>23</v>
      </c>
    </row>
    <row r="20" spans="1:20" x14ac:dyDescent="0.3">
      <c r="A20" s="3" t="str">
        <f>A21</f>
        <v>syls4</v>
      </c>
      <c r="B20">
        <v>0</v>
      </c>
      <c r="C20" s="1">
        <v>0</v>
      </c>
      <c r="D20" s="2">
        <f t="shared" ref="D20" si="5">C20</f>
        <v>0</v>
      </c>
    </row>
    <row r="21" spans="1:20" x14ac:dyDescent="0.3">
      <c r="A21" s="3" t="str">
        <f>A11</f>
        <v>syls4</v>
      </c>
      <c r="B21">
        <f>B19</f>
        <v>1</v>
      </c>
      <c r="C21" s="1">
        <f>B11</f>
        <v>2.4980000000000002</v>
      </c>
      <c r="D21" s="2">
        <f t="shared" ref="D21" si="6">EXP(C21)</f>
        <v>12.158153321534783</v>
      </c>
    </row>
    <row r="22" spans="1:20" x14ac:dyDescent="0.3">
      <c r="F22" s="14"/>
    </row>
    <row r="23" spans="1:20" x14ac:dyDescent="0.3">
      <c r="A23" t="str">
        <f>A7</f>
        <v>lh_slope</v>
      </c>
      <c r="B23" t="str">
        <f>B7</f>
        <v>predicted</v>
      </c>
    </row>
    <row r="24" spans="1:20" x14ac:dyDescent="0.3">
      <c r="A24" t="str">
        <f>A8</f>
        <v>syls1</v>
      </c>
      <c r="B24" s="1">
        <f>EXP(B8)</f>
        <v>24.70486036037963</v>
      </c>
      <c r="C24" s="1"/>
      <c r="D24" s="1"/>
      <c r="E24" s="1"/>
      <c r="F24" s="1"/>
    </row>
    <row r="25" spans="1:20" x14ac:dyDescent="0.3">
      <c r="A25" t="str">
        <f>A9</f>
        <v>syls2</v>
      </c>
      <c r="B25" s="1">
        <f t="shared" ref="B25" si="7">EXP(B9)</f>
        <v>24.143133197056581</v>
      </c>
      <c r="C25" s="1"/>
      <c r="D25" s="1"/>
      <c r="E25" s="1"/>
      <c r="F25" s="1"/>
    </row>
    <row r="26" spans="1:20" x14ac:dyDescent="0.3">
      <c r="A26" t="str">
        <f>A10</f>
        <v>syls3</v>
      </c>
      <c r="B26" s="1">
        <f t="shared" ref="B26" si="8">EXP(B10)</f>
        <v>21.714929079212769</v>
      </c>
      <c r="C26" s="1"/>
      <c r="D26" s="1"/>
      <c r="E26" s="1"/>
      <c r="F26" s="1"/>
    </row>
    <row r="27" spans="1:20" x14ac:dyDescent="0.3">
      <c r="A27" t="str">
        <f>A11</f>
        <v>syls4</v>
      </c>
      <c r="B27" s="1">
        <f t="shared" ref="B27" si="9">EXP(B11)</f>
        <v>12.158153321534783</v>
      </c>
      <c r="C27" s="1"/>
      <c r="D27" s="1"/>
      <c r="E27" s="1"/>
      <c r="F27" s="1"/>
    </row>
    <row r="31" spans="1:20" x14ac:dyDescent="0.3">
      <c r="A31" s="3"/>
      <c r="C31" s="1"/>
      <c r="D31" s="1"/>
    </row>
    <row r="32" spans="1:20" x14ac:dyDescent="0.3">
      <c r="A32" s="3"/>
      <c r="C32" s="1"/>
      <c r="D32" s="1"/>
    </row>
    <row r="33" spans="1:6" x14ac:dyDescent="0.3">
      <c r="A33" s="3"/>
      <c r="C33" s="1"/>
      <c r="D33" s="1"/>
    </row>
    <row r="34" spans="1:6" x14ac:dyDescent="0.3">
      <c r="A34" s="3"/>
      <c r="C34" s="1"/>
      <c r="D34" s="1"/>
    </row>
    <row r="35" spans="1:6" x14ac:dyDescent="0.3">
      <c r="A35" s="3"/>
      <c r="C35" s="1"/>
      <c r="D35" s="1"/>
    </row>
    <row r="36" spans="1:6" x14ac:dyDescent="0.3">
      <c r="A36" s="3"/>
      <c r="C36" s="1"/>
      <c r="D36" s="1"/>
    </row>
    <row r="37" spans="1:6" x14ac:dyDescent="0.3">
      <c r="A37" s="3"/>
      <c r="C37" s="1"/>
      <c r="D37" s="1"/>
    </row>
    <row r="38" spans="1:6" x14ac:dyDescent="0.3">
      <c r="A38" s="3"/>
      <c r="C38" s="1"/>
      <c r="D38" s="1"/>
    </row>
    <row r="39" spans="1:6" x14ac:dyDescent="0.3">
      <c r="A39" s="3"/>
    </row>
    <row r="40" spans="1:6" x14ac:dyDescent="0.3">
      <c r="A40" s="3"/>
    </row>
    <row r="46" spans="1:6" x14ac:dyDescent="0.3">
      <c r="B46" s="1"/>
      <c r="C46" s="1"/>
      <c r="D46" s="1"/>
      <c r="E46" s="1"/>
      <c r="F46" s="1"/>
    </row>
    <row r="47" spans="1:6" x14ac:dyDescent="0.3">
      <c r="B47" s="1"/>
      <c r="C47" s="1"/>
      <c r="D47" s="1"/>
      <c r="E47" s="1"/>
      <c r="F47" s="1"/>
    </row>
    <row r="48" spans="1:6" x14ac:dyDescent="0.3">
      <c r="B48" s="1"/>
      <c r="C48" s="1"/>
      <c r="D48" s="1"/>
      <c r="E48" s="1"/>
      <c r="F48" s="1"/>
    </row>
    <row r="49" spans="2:6" x14ac:dyDescent="0.3">
      <c r="B49" s="1"/>
      <c r="C49" s="1"/>
      <c r="D49" s="1"/>
      <c r="E49" s="1"/>
      <c r="F49" s="1"/>
    </row>
  </sheetData>
  <mergeCells count="2">
    <mergeCell ref="R2:S2"/>
    <mergeCell ref="R3:S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49F-EF38-4D7B-B676-64AFB5DCFB0A}">
  <dimension ref="A1:AN40"/>
  <sheetViews>
    <sheetView tabSelected="1" topLeftCell="A10" zoomScale="115" zoomScaleNormal="115" workbookViewId="0">
      <selection activeCell="M22" sqref="M22"/>
    </sheetView>
  </sheetViews>
  <sheetFormatPr defaultRowHeight="14.4" x14ac:dyDescent="0.3"/>
  <sheetData>
    <row r="1" spans="1:6" x14ac:dyDescent="0.3">
      <c r="B1" t="s">
        <v>12</v>
      </c>
    </row>
    <row r="2" spans="1:6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3">
      <c r="A3" s="3" t="str">
        <f>[15]pn_l_t_b0!A6</f>
        <v>foot_syls1</v>
      </c>
      <c r="B3" s="3">
        <f>[15]pn_l_t_b0!B6</f>
        <v>46.2</v>
      </c>
      <c r="C3" s="3">
        <f>[15]pn_l_t_b0!C6</f>
        <v>6.5967463847160399</v>
      </c>
      <c r="D3" s="3">
        <f>[15]pn_l_t_b0!D6</f>
        <v>85.812500740278594</v>
      </c>
      <c r="E3">
        <f>[15]pn_l_t_b0!E6</f>
        <v>18.14</v>
      </c>
      <c r="F3">
        <f>B3-C3</f>
        <v>39.603253615283961</v>
      </c>
    </row>
    <row r="4" spans="1:6" x14ac:dyDescent="0.3">
      <c r="A4" s="3" t="str">
        <f>[15]pn_l_t_b0!A7</f>
        <v>foot_syls2</v>
      </c>
      <c r="B4" s="3">
        <f>[15]pn_l_t_b0!B7</f>
        <v>47.72</v>
      </c>
      <c r="C4" s="3">
        <f>[15]pn_l_t_b0!C7</f>
        <v>8.7252946728488894</v>
      </c>
      <c r="D4" s="3">
        <f>[15]pn_l_t_b0!D7</f>
        <v>86.721775274480393</v>
      </c>
      <c r="E4">
        <f>[15]pn_l_t_b0!E7</f>
        <v>17.690000000000001</v>
      </c>
      <c r="F4">
        <f>B4-C4</f>
        <v>38.994705327151109</v>
      </c>
    </row>
    <row r="5" spans="1:6" x14ac:dyDescent="0.3">
      <c r="A5" s="3" t="str">
        <f>[15]pn_l_t_b0!A8</f>
        <v>foot_syls3</v>
      </c>
      <c r="B5" s="3">
        <f>[15]pn_l_t_b0!B8</f>
        <v>52.71</v>
      </c>
      <c r="C5" s="3">
        <f>[15]pn_l_t_b0!C8</f>
        <v>13.5894432682085</v>
      </c>
      <c r="D5" s="3">
        <f>[15]pn_l_t_b0!D8</f>
        <v>91.821004083572603</v>
      </c>
      <c r="E5">
        <f>[15]pn_l_t_b0!E8</f>
        <v>17.670000000000002</v>
      </c>
      <c r="F5">
        <f>B5-C5</f>
        <v>39.120556731791503</v>
      </c>
    </row>
    <row r="6" spans="1:6" x14ac:dyDescent="0.3">
      <c r="A6" s="3" t="str">
        <f>[15]pn_l_t_b0!A9</f>
        <v>foot_syls4</v>
      </c>
      <c r="B6" s="3">
        <f>[15]pn_l_t_b0!B9</f>
        <v>64.489999999999995</v>
      </c>
      <c r="C6" s="3">
        <f>[15]pn_l_t_b0!C9</f>
        <v>24.8775429038987</v>
      </c>
      <c r="D6" s="3">
        <f>[15]pn_l_t_b0!D9</f>
        <v>104.106184341922</v>
      </c>
      <c r="E6">
        <f>[15]pn_l_t_b0!E9</f>
        <v>18.07</v>
      </c>
      <c r="F6">
        <f>B6-C6</f>
        <v>39.612457096101295</v>
      </c>
    </row>
    <row r="8" spans="1:6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3">
      <c r="A9" s="2" t="str">
        <f>REPLACE([16]pn_l_f0_b0!A6, 1, 5,"")</f>
        <v>syls1</v>
      </c>
      <c r="B9" s="2">
        <f>[16]pn_l_f0_b0!B6</f>
        <v>-0.72</v>
      </c>
      <c r="C9" s="2">
        <f>[16]pn_l_f0_b0!C6</f>
        <v>-1.7565094033984201</v>
      </c>
      <c r="D9" s="2">
        <f>[16]pn_l_f0_b0!D6</f>
        <v>0.32509691379777</v>
      </c>
      <c r="E9">
        <f>[16]pn_l_f0_b0!E6</f>
        <v>0.43</v>
      </c>
      <c r="F9">
        <f t="shared" ref="F9:F25" si="0">B9-C9</f>
        <v>1.0365094033984201</v>
      </c>
    </row>
    <row r="10" spans="1:6" x14ac:dyDescent="0.3">
      <c r="A10" s="2" t="str">
        <f>REPLACE([16]pn_l_f0_b0!A7, 1, 5,"")</f>
        <v>syls2</v>
      </c>
      <c r="B10" s="2">
        <f>[16]pn_l_f0_b0!B7</f>
        <v>-0.97</v>
      </c>
      <c r="C10" s="2">
        <f>[16]pn_l_f0_b0!C7</f>
        <v>-2.11536243901205</v>
      </c>
      <c r="D10" s="2">
        <f>[16]pn_l_f0_b0!D7</f>
        <v>0.173438535179854</v>
      </c>
      <c r="E10">
        <f>[16]pn_l_f0_b0!E7</f>
        <v>0.39</v>
      </c>
      <c r="F10">
        <f t="shared" si="0"/>
        <v>1.14536243901205</v>
      </c>
    </row>
    <row r="11" spans="1:6" x14ac:dyDescent="0.3">
      <c r="A11" s="2" t="str">
        <f>REPLACE([16]pn_l_f0_b0!A8, 1, 5,"")</f>
        <v>syls3</v>
      </c>
      <c r="B11" s="2">
        <f>[16]pn_l_f0_b0!B8</f>
        <v>-0.88</v>
      </c>
      <c r="C11" s="2">
        <f>[16]pn_l_f0_b0!C8</f>
        <v>-1.47591997893684</v>
      </c>
      <c r="D11" s="2">
        <f>[16]pn_l_f0_b0!D8</f>
        <v>-0.28500420634409701</v>
      </c>
      <c r="E11">
        <f>[16]pn_l_f0_b0!E8</f>
        <v>0.28000000000000003</v>
      </c>
      <c r="F11">
        <f t="shared" si="0"/>
        <v>0.59591997893684001</v>
      </c>
    </row>
    <row r="12" spans="1:6" x14ac:dyDescent="0.3">
      <c r="A12" s="2" t="str">
        <f>REPLACE([16]pn_l_f0_b0!A9, 1, 5,"")</f>
        <v>syls4</v>
      </c>
      <c r="B12" s="2">
        <f>[16]pn_l_f0_b0!B9</f>
        <v>-0.78</v>
      </c>
      <c r="C12" s="2">
        <f>[16]pn_l_f0_b0!C9</f>
        <v>-1.4029403220905501</v>
      </c>
      <c r="D12" s="2">
        <f>[16]pn_l_f0_b0!D9</f>
        <v>-0.154507965495841</v>
      </c>
      <c r="E12">
        <f>[16]pn_l_f0_b0!E9</f>
        <v>0.3</v>
      </c>
      <c r="F12">
        <f t="shared" si="0"/>
        <v>0.62294032209055006</v>
      </c>
    </row>
    <row r="15" spans="1:6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3">
      <c r="A16" s="3" t="str">
        <f>REPLACE([17]pn_h_t_b0!A9, 1, 5,"")</f>
        <v>syls1</v>
      </c>
      <c r="B16" s="3">
        <f>[17]pn_h_t_b0!B9</f>
        <v>184.03</v>
      </c>
      <c r="C16" s="3">
        <f>[17]pn_h_t_b0!C9</f>
        <v>151.50699150927201</v>
      </c>
      <c r="D16" s="3">
        <f>[17]pn_h_t_b0!D9</f>
        <v>216.543988074411</v>
      </c>
      <c r="E16">
        <f>[17]pn_h_t_b0!E9</f>
        <v>15.51</v>
      </c>
      <c r="F16">
        <f t="shared" si="0"/>
        <v>32.523008490727989</v>
      </c>
    </row>
    <row r="17" spans="1:40" x14ac:dyDescent="0.3">
      <c r="A17" s="3" t="str">
        <f>REPLACE([17]pn_h_t_b0!A10, 1, 5,"")</f>
        <v>syls2</v>
      </c>
      <c r="B17" s="3">
        <f>[17]pn_h_t_b0!B10</f>
        <v>223.65</v>
      </c>
      <c r="C17" s="3">
        <f>[17]pn_h_t_b0!C10</f>
        <v>189.32100990096399</v>
      </c>
      <c r="D17" s="3">
        <f>[17]pn_h_t_b0!D10</f>
        <v>257.98451528172501</v>
      </c>
      <c r="E17">
        <f>[17]pn_h_t_b0!E10</f>
        <v>16.38</v>
      </c>
      <c r="F17">
        <f t="shared" si="0"/>
        <v>34.32899009903602</v>
      </c>
    </row>
    <row r="18" spans="1:40" x14ac:dyDescent="0.3">
      <c r="A18" s="3" t="str">
        <f>REPLACE([17]pn_h_t_b0!A11, 1, 5,"")</f>
        <v>syls3</v>
      </c>
      <c r="B18" s="3">
        <f>[17]pn_h_t_b0!B11</f>
        <v>250.64</v>
      </c>
      <c r="C18" s="3">
        <f>[17]pn_h_t_b0!C11</f>
        <v>206.74646438307099</v>
      </c>
      <c r="D18" s="3">
        <f>[17]pn_h_t_b0!D11</f>
        <v>294.53480036163103</v>
      </c>
      <c r="E18">
        <f>[17]pn_h_t_b0!E11</f>
        <v>20.29</v>
      </c>
      <c r="F18">
        <f t="shared" si="0"/>
        <v>43.893535616929</v>
      </c>
    </row>
    <row r="19" spans="1:40" x14ac:dyDescent="0.3">
      <c r="A19" s="3" t="str">
        <f>REPLACE([17]pn_h_t_b0!A12, 1, 5,"")</f>
        <v>syls4</v>
      </c>
      <c r="B19" s="3">
        <f>[17]pn_h_t_b0!B12</f>
        <v>251.81</v>
      </c>
      <c r="C19" s="3">
        <f>[17]pn_h_t_b0!C12</f>
        <v>211.81376536255701</v>
      </c>
      <c r="D19" s="3">
        <f>[17]pn_h_t_b0!D12</f>
        <v>291.80850172416001</v>
      </c>
      <c r="E19">
        <f>[17]pn_h_t_b0!E12</f>
        <v>18.86</v>
      </c>
      <c r="F19">
        <f t="shared" si="0"/>
        <v>39.996234637442996</v>
      </c>
    </row>
    <row r="21" spans="1:40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3">
      <c r="A22" s="2" t="str">
        <f>REPLACE([18]pn_h_f0_b0!A9, 1, 5,"")</f>
        <v>syls1</v>
      </c>
      <c r="B22" s="2">
        <f>[18]pn_h_f0_b0!B9</f>
        <v>1.5</v>
      </c>
      <c r="C22" s="2">
        <f>[18]pn_h_f0_b0!C9</f>
        <v>0.39689523098933299</v>
      </c>
      <c r="D22" s="2">
        <f>[18]pn_h_f0_b0!D9</f>
        <v>2.5945488757358302</v>
      </c>
      <c r="E22">
        <f>[18]pn_h_f0_b0!E9</f>
        <v>0.51</v>
      </c>
      <c r="F22">
        <f t="shared" si="0"/>
        <v>1.103104769010667</v>
      </c>
    </row>
    <row r="23" spans="1:40" x14ac:dyDescent="0.3">
      <c r="A23" s="2" t="str">
        <f>REPLACE([18]pn_h_f0_b0!A10, 1, 5,"")</f>
        <v>syls2</v>
      </c>
      <c r="B23" s="2">
        <f>[18]pn_h_f0_b0!B10</f>
        <v>2.2400000000000002</v>
      </c>
      <c r="C23" s="2">
        <f>[18]pn_h_f0_b0!C10</f>
        <v>1.1097249952672901</v>
      </c>
      <c r="D23" s="2">
        <f>[18]pn_h_f0_b0!D10</f>
        <v>3.3704089834438</v>
      </c>
      <c r="E23">
        <f>[18]pn_h_f0_b0!E10</f>
        <v>0.53</v>
      </c>
      <c r="F23">
        <f t="shared" si="0"/>
        <v>1.1302750047327101</v>
      </c>
    </row>
    <row r="24" spans="1:40" x14ac:dyDescent="0.3">
      <c r="A24" s="2" t="str">
        <f>REPLACE([18]pn_h_f0_b0!A11, 1, 5,"")</f>
        <v>syls3</v>
      </c>
      <c r="B24" s="2">
        <f>[18]pn_h_f0_b0!B11</f>
        <v>2.5099999999999998</v>
      </c>
      <c r="C24" s="2">
        <f>[18]pn_h_f0_b0!C11</f>
        <v>1.50506593199987</v>
      </c>
      <c r="D24" s="2">
        <f>[18]pn_h_f0_b0!D11</f>
        <v>3.5234864941742101</v>
      </c>
      <c r="E24">
        <f>[18]pn_h_f0_b0!E11</f>
        <v>0.44</v>
      </c>
      <c r="F24">
        <f t="shared" si="0"/>
        <v>1.0049340680001297</v>
      </c>
    </row>
    <row r="25" spans="1:40" x14ac:dyDescent="0.3">
      <c r="A25" s="2" t="str">
        <f>REPLACE([18]pn_h_f0_b0!A12, 1, 5,"")</f>
        <v>syls4</v>
      </c>
      <c r="B25" s="2">
        <f>[18]pn_h_f0_b0!B12</f>
        <v>2.17</v>
      </c>
      <c r="C25" s="2">
        <f>[18]pn_h_f0_b0!C12</f>
        <v>1.1379900405871699</v>
      </c>
      <c r="D25" s="2">
        <f>[18]pn_h_f0_b0!D12</f>
        <v>3.21044651648725</v>
      </c>
      <c r="E25">
        <f>[18]pn_h_f0_b0!E12</f>
        <v>0.47</v>
      </c>
      <c r="F25">
        <f t="shared" si="0"/>
        <v>1.03200995941283</v>
      </c>
    </row>
    <row r="29" spans="1:40" x14ac:dyDescent="0.3">
      <c r="B29" s="3"/>
      <c r="C29" s="3"/>
      <c r="D29" s="3"/>
    </row>
    <row r="30" spans="1:40" x14ac:dyDescent="0.3">
      <c r="B30" s="3"/>
      <c r="C30" s="3"/>
      <c r="D30" s="3"/>
    </row>
    <row r="31" spans="1:40" x14ac:dyDescent="0.3">
      <c r="B31" s="3"/>
      <c r="C31" s="3"/>
      <c r="D31" s="3"/>
    </row>
    <row r="32" spans="1:40" x14ac:dyDescent="0.3">
      <c r="B32" s="3"/>
      <c r="C32" s="3"/>
      <c r="D32" s="3"/>
    </row>
    <row r="34" spans="2:23" x14ac:dyDescent="0.3">
      <c r="I34" s="4"/>
    </row>
    <row r="35" spans="2:23" x14ac:dyDescent="0.3">
      <c r="B35" s="2"/>
      <c r="C35" s="2"/>
      <c r="D35" s="2"/>
      <c r="I35" s="8"/>
    </row>
    <row r="36" spans="2:23" x14ac:dyDescent="0.3">
      <c r="B36" s="2"/>
      <c r="C36" s="2"/>
      <c r="D36" s="2"/>
      <c r="I36" s="7"/>
    </row>
    <row r="37" spans="2:23" x14ac:dyDescent="0.3">
      <c r="B37" s="2"/>
      <c r="C37" s="2"/>
      <c r="D37" s="2"/>
      <c r="I37" s="7"/>
    </row>
    <row r="38" spans="2:23" x14ac:dyDescent="0.3">
      <c r="B38" s="2"/>
      <c r="C38" s="2"/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2:23" x14ac:dyDescent="0.3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3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452F-268F-41A1-B73D-786A1FD63390}">
  <dimension ref="A1:AN40"/>
  <sheetViews>
    <sheetView zoomScaleNormal="100" workbookViewId="0">
      <selection activeCell="F10" sqref="F10"/>
    </sheetView>
  </sheetViews>
  <sheetFormatPr defaultRowHeight="14.4" x14ac:dyDescent="0.3"/>
  <cols>
    <col min="2" max="3" width="9.109375" style="3"/>
  </cols>
  <sheetData>
    <row r="1" spans="1:6" x14ac:dyDescent="0.3">
      <c r="B1" s="3" t="s">
        <v>12</v>
      </c>
    </row>
    <row r="2" spans="1:6" x14ac:dyDescent="0.3">
      <c r="A2" t="s">
        <v>0</v>
      </c>
      <c r="B2" s="3" t="s">
        <v>6</v>
      </c>
      <c r="C2" s="3" t="s">
        <v>7</v>
      </c>
      <c r="D2" t="s">
        <v>8</v>
      </c>
      <c r="E2" t="s">
        <v>9</v>
      </c>
      <c r="F2" t="s">
        <v>10</v>
      </c>
    </row>
    <row r="3" spans="1:6" x14ac:dyDescent="0.3">
      <c r="A3" s="3" t="str">
        <f>REPLACE([15]pn_l_t_b0!A2,5,4,"")</f>
        <v>ana_0</v>
      </c>
      <c r="B3" s="3">
        <f>[15]pn_l_t_b0!B2</f>
        <v>46.2</v>
      </c>
      <c r="C3" s="3">
        <f>[15]pn_l_t_b0!C2</f>
        <v>6.5967463847160399</v>
      </c>
      <c r="D3" s="3">
        <f>[15]pn_l_t_b0!D2</f>
        <v>85.812500740278594</v>
      </c>
      <c r="E3">
        <f>[15]pn_l_t_b0!E2</f>
        <v>18.14</v>
      </c>
      <c r="F3" s="3">
        <f>B3-C3</f>
        <v>39.603253615283961</v>
      </c>
    </row>
    <row r="4" spans="1:6" x14ac:dyDescent="0.3">
      <c r="A4" s="3" t="str">
        <f>REPLACE([15]pn_l_t_b0!A3,5,4,"")</f>
        <v>ana_1</v>
      </c>
      <c r="B4" s="3">
        <f>[15]pn_l_t_b0!B3</f>
        <v>13.69</v>
      </c>
      <c r="C4" s="3">
        <f>[15]pn_l_t_b0!C3</f>
        <v>-82.542645765229096</v>
      </c>
      <c r="D4" s="3">
        <f>[15]pn_l_t_b0!D3</f>
        <v>109.922277266642</v>
      </c>
      <c r="E4">
        <f>[15]pn_l_t_b0!E3</f>
        <v>38.51</v>
      </c>
      <c r="F4" s="3">
        <f>B4-C4</f>
        <v>96.232645765229094</v>
      </c>
    </row>
    <row r="5" spans="1:6" x14ac:dyDescent="0.3">
      <c r="A5" s="3" t="str">
        <f>REPLACE([15]pn_l_t_b0!A4,5,4,"")</f>
        <v>ana_2</v>
      </c>
      <c r="B5" s="3">
        <f>[15]pn_l_t_b0!B4</f>
        <v>15.11</v>
      </c>
      <c r="C5" s="3">
        <f>[15]pn_l_t_b0!C4</f>
        <v>-81.058894014132306</v>
      </c>
      <c r="D5" s="3">
        <f>[15]pn_l_t_b0!D4</f>
        <v>111.269364998366</v>
      </c>
      <c r="E5">
        <f>[15]pn_l_t_b0!E4</f>
        <v>38.89</v>
      </c>
      <c r="F5" s="3">
        <f>B5-C5</f>
        <v>96.168894014132306</v>
      </c>
    </row>
    <row r="6" spans="1:6" x14ac:dyDescent="0.3">
      <c r="A6" s="3" t="str">
        <f>REPLACE([15]pn_l_t_b0!A5,5,4,"")</f>
        <v>ana_3</v>
      </c>
      <c r="B6" s="3">
        <f>[15]pn_l_t_b0!B5</f>
        <v>25.6</v>
      </c>
      <c r="C6" s="3">
        <f>[15]pn_l_t_b0!C5</f>
        <v>-70.565829722645105</v>
      </c>
      <c r="D6" s="3">
        <f>[15]pn_l_t_b0!D5</f>
        <v>121.76198505396501</v>
      </c>
      <c r="E6">
        <f>[15]pn_l_t_b0!E5</f>
        <v>38.89</v>
      </c>
      <c r="F6" s="3">
        <f>B6-C6</f>
        <v>96.1658297226451</v>
      </c>
    </row>
    <row r="8" spans="1:6" x14ac:dyDescent="0.3">
      <c r="A8" t="s">
        <v>1</v>
      </c>
      <c r="B8" s="3" t="str">
        <f>B2</f>
        <v>predicted</v>
      </c>
      <c r="C8" s="3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3">
      <c r="A9" s="2" t="str">
        <f>REPLACE([16]pn_l_f0_b0!A2,5,4,"")</f>
        <v>ana_0</v>
      </c>
      <c r="B9" s="2">
        <f>[16]pn_l_f0_b0!B2</f>
        <v>-0.72</v>
      </c>
      <c r="C9" s="2">
        <f>[16]pn_l_f0_b0!C2</f>
        <v>-1.7565094033984201</v>
      </c>
      <c r="D9" s="2">
        <f>[16]pn_l_f0_b0!D2</f>
        <v>0.32509691379777</v>
      </c>
      <c r="E9" s="2">
        <f>[16]pn_l_f0_b0!E2</f>
        <v>0.43</v>
      </c>
      <c r="F9" s="2">
        <f>B9-C9</f>
        <v>1.0365094033984201</v>
      </c>
    </row>
    <row r="10" spans="1:6" x14ac:dyDescent="0.3">
      <c r="A10" s="2" t="str">
        <f>REPLACE([16]pn_l_f0_b0!A3,5,4,"")</f>
        <v>ana_1</v>
      </c>
      <c r="B10" s="2">
        <f>[16]pn_l_f0_b0!B3</f>
        <v>0.16</v>
      </c>
      <c r="C10" s="2">
        <f>[16]pn_l_f0_b0!C3</f>
        <v>-0.90707006018054503</v>
      </c>
      <c r="D10" s="2">
        <f>[16]pn_l_f0_b0!D3</f>
        <v>1.21769975053144</v>
      </c>
      <c r="E10" s="2">
        <f>[16]pn_l_f0_b0!E3</f>
        <v>0.47</v>
      </c>
      <c r="F10" s="2">
        <f>B10-C10</f>
        <v>1.067070060180545</v>
      </c>
    </row>
    <row r="11" spans="1:6" x14ac:dyDescent="0.3">
      <c r="A11" s="2" t="str">
        <f>REPLACE([16]pn_l_f0_b0!A4,5,4,"")</f>
        <v>ana_2</v>
      </c>
      <c r="B11" s="2">
        <f>[16]pn_l_f0_b0!B4</f>
        <v>-0.52</v>
      </c>
      <c r="C11" s="2">
        <f>[16]pn_l_f0_b0!C4</f>
        <v>-1.6648704520998101</v>
      </c>
      <c r="D11" s="2">
        <f>[16]pn_l_f0_b0!D4</f>
        <v>0.62342027080806695</v>
      </c>
      <c r="E11" s="2">
        <f>[16]pn_l_f0_b0!E4</f>
        <v>0.54</v>
      </c>
      <c r="F11" s="2">
        <f>B11-C11</f>
        <v>1.1448704520998101</v>
      </c>
    </row>
    <row r="12" spans="1:6" x14ac:dyDescent="0.3">
      <c r="A12" s="2" t="str">
        <f>REPLACE([16]pn_l_f0_b0!A5,5,4,"")</f>
        <v>ana_3</v>
      </c>
      <c r="B12" s="2">
        <f>[16]pn_l_f0_b0!B5</f>
        <v>-0.65</v>
      </c>
      <c r="C12" s="2">
        <f>[16]pn_l_f0_b0!C5</f>
        <v>-1.79178164106981</v>
      </c>
      <c r="D12" s="2">
        <f>[16]pn_l_f0_b0!D5</f>
        <v>0.49672222302129398</v>
      </c>
      <c r="E12" s="2">
        <f>[16]pn_l_f0_b0!E5</f>
        <v>0.54</v>
      </c>
      <c r="F12" s="2">
        <f>B12-C12</f>
        <v>1.1417816410698101</v>
      </c>
    </row>
    <row r="15" spans="1:6" x14ac:dyDescent="0.3">
      <c r="A15" t="s">
        <v>2</v>
      </c>
      <c r="B15" s="3" t="str">
        <f>B2</f>
        <v>predicted</v>
      </c>
      <c r="C15" s="3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3">
      <c r="A16" s="3" t="str">
        <f>REPLACE([17]pn_h_t_b0!A5,5,4,"")</f>
        <v>ana_0</v>
      </c>
      <c r="B16" s="3">
        <f>[17]pn_h_t_b0!B5</f>
        <v>184.03</v>
      </c>
      <c r="C16" s="3">
        <f>[17]pn_h_t_b0!C5</f>
        <v>151.506949680486</v>
      </c>
      <c r="D16" s="3">
        <f>[17]pn_h_t_b0!D5</f>
        <v>216.54399928761001</v>
      </c>
      <c r="E16" s="3">
        <f>[17]pn_h_t_b0!E5</f>
        <v>15.51</v>
      </c>
      <c r="F16" s="3">
        <f>B16-C16</f>
        <v>32.523050319513999</v>
      </c>
    </row>
    <row r="17" spans="1:40" x14ac:dyDescent="0.3">
      <c r="A17" s="3" t="str">
        <f>REPLACE([17]pn_h_t_b0!A6,5,4,"")</f>
        <v>ana_1</v>
      </c>
      <c r="B17" s="3">
        <f>[17]pn_h_t_b0!B6</f>
        <v>146.68</v>
      </c>
      <c r="C17" s="3">
        <f>[17]pn_h_t_b0!C6</f>
        <v>90.808399579699397</v>
      </c>
      <c r="D17" s="3">
        <f>[17]pn_h_t_b0!D6</f>
        <v>202.55092072075499</v>
      </c>
      <c r="E17" s="3">
        <f>[17]pn_h_t_b0!E6</f>
        <v>23.92</v>
      </c>
      <c r="F17" s="3">
        <f>B17-C17</f>
        <v>55.871600420300609</v>
      </c>
    </row>
    <row r="18" spans="1:40" x14ac:dyDescent="0.3">
      <c r="A18" s="3" t="str">
        <f>REPLACE([17]pn_h_t_b0!A7,5,4,"")</f>
        <v>ana_2</v>
      </c>
      <c r="B18" s="3">
        <f>[17]pn_h_t_b0!B7</f>
        <v>184.81</v>
      </c>
      <c r="C18" s="3">
        <f>[17]pn_h_t_b0!C7</f>
        <v>128.28338969342599</v>
      </c>
      <c r="D18" s="3">
        <f>[17]pn_h_t_b0!D7</f>
        <v>241.34456183907</v>
      </c>
      <c r="E18" s="3">
        <f>[17]pn_h_t_b0!E7</f>
        <v>24.92</v>
      </c>
      <c r="F18" s="3">
        <f>B18-C18</f>
        <v>56.526610306574014</v>
      </c>
    </row>
    <row r="19" spans="1:40" x14ac:dyDescent="0.3">
      <c r="A19" s="3" t="str">
        <f>REPLACE([17]pn_h_t_b0!A8,5,4,"")</f>
        <v>ana_3</v>
      </c>
      <c r="B19" s="3">
        <f>[17]pn_h_t_b0!B8</f>
        <v>196.31</v>
      </c>
      <c r="C19" s="3">
        <f>[17]pn_h_t_b0!C8</f>
        <v>139.783401363927</v>
      </c>
      <c r="D19" s="3">
        <f>[17]pn_h_t_b0!D8</f>
        <v>252.84052976831401</v>
      </c>
      <c r="E19" s="3">
        <f>[17]pn_h_t_b0!E8</f>
        <v>24.93</v>
      </c>
      <c r="F19" s="3">
        <f>B19-C19</f>
        <v>56.526598636073004</v>
      </c>
    </row>
    <row r="21" spans="1:40" x14ac:dyDescent="0.3">
      <c r="A21" t="s">
        <v>3</v>
      </c>
      <c r="B21" s="3" t="str">
        <f>B2</f>
        <v>predicted</v>
      </c>
      <c r="C21" s="3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3">
      <c r="A22" s="2" t="str">
        <f>REPLACE([18]pn_h_f0_b0!A5,5,4,"")</f>
        <v>ana_0</v>
      </c>
      <c r="B22" s="2">
        <f>[18]pn_h_f0_b0!B5</f>
        <v>1.5</v>
      </c>
      <c r="C22" s="2">
        <f>[18]pn_h_f0_b0!C5</f>
        <v>0.39689523098933299</v>
      </c>
      <c r="D22" s="2">
        <f>[18]pn_h_f0_b0!D5</f>
        <v>2.5945488757358302</v>
      </c>
      <c r="E22" s="2">
        <f>[18]pn_h_f0_b0!E5</f>
        <v>0.51</v>
      </c>
      <c r="F22" s="2">
        <f>B22-C22</f>
        <v>1.103104769010667</v>
      </c>
    </row>
    <row r="23" spans="1:40" x14ac:dyDescent="0.3">
      <c r="A23" s="2" t="str">
        <f>REPLACE([18]pn_h_f0_b0!A6,5,4,"")</f>
        <v>ana_1</v>
      </c>
      <c r="B23" s="2">
        <f>[18]pn_h_f0_b0!B6</f>
        <v>1.79</v>
      </c>
      <c r="C23" s="2">
        <f>[18]pn_h_f0_b0!C6</f>
        <v>1.40188301191372E-2</v>
      </c>
      <c r="D23" s="2">
        <f>[18]pn_h_f0_b0!D6</f>
        <v>3.5673911813759398</v>
      </c>
      <c r="E23" s="2">
        <f>[18]pn_h_f0_b0!E6</f>
        <v>0.7</v>
      </c>
      <c r="F23">
        <f t="shared" ref="F9:F25" si="0">B23-C23</f>
        <v>1.7759811698808627</v>
      </c>
    </row>
    <row r="24" spans="1:40" x14ac:dyDescent="0.3">
      <c r="A24" s="2" t="str">
        <f>REPLACE([18]pn_h_f0_b0!A7,5,4,"")</f>
        <v>ana_2</v>
      </c>
      <c r="B24" s="2">
        <f>[18]pn_h_f0_b0!B7</f>
        <v>1.87</v>
      </c>
      <c r="C24" s="2">
        <f>[18]pn_h_f0_b0!C7</f>
        <v>9.03321681326332E-2</v>
      </c>
      <c r="D24" s="2">
        <f>[18]pn_h_f0_b0!D7</f>
        <v>3.6407151941978699</v>
      </c>
      <c r="E24" s="2">
        <f>[18]pn_h_f0_b0!E7</f>
        <v>0.75</v>
      </c>
      <c r="F24" s="2">
        <f>B24-C24</f>
        <v>1.7796678318673669</v>
      </c>
    </row>
    <row r="25" spans="1:40" x14ac:dyDescent="0.3">
      <c r="A25" s="2" t="str">
        <f>REPLACE([18]pn_h_f0_b0!A8,5,4,"")</f>
        <v>ana_3</v>
      </c>
      <c r="B25" s="2">
        <f>[18]pn_h_f0_b0!B8</f>
        <v>1.17</v>
      </c>
      <c r="C25" s="2">
        <f>[18]pn_h_f0_b0!C8</f>
        <v>-0.60663699285287898</v>
      </c>
      <c r="D25" s="2">
        <f>[18]pn_h_f0_b0!D8</f>
        <v>2.9431319242153</v>
      </c>
      <c r="E25" s="2">
        <f>[18]pn_h_f0_b0!E8</f>
        <v>0.75</v>
      </c>
      <c r="F25">
        <f t="shared" si="0"/>
        <v>1.7766369928528789</v>
      </c>
    </row>
    <row r="29" spans="1:40" x14ac:dyDescent="0.3">
      <c r="D29" s="3"/>
    </row>
    <row r="30" spans="1:40" x14ac:dyDescent="0.3">
      <c r="D30" s="3"/>
    </row>
    <row r="31" spans="1:40" x14ac:dyDescent="0.3">
      <c r="D31" s="3"/>
    </row>
    <row r="32" spans="1:40" x14ac:dyDescent="0.3">
      <c r="D32" s="3"/>
    </row>
    <row r="34" spans="4:23" x14ac:dyDescent="0.3">
      <c r="I34" s="4"/>
    </row>
    <row r="35" spans="4:23" x14ac:dyDescent="0.3">
      <c r="D35" s="2"/>
      <c r="I35" s="8"/>
    </row>
    <row r="36" spans="4:23" x14ac:dyDescent="0.3">
      <c r="D36" s="2"/>
      <c r="I36" s="7"/>
    </row>
    <row r="37" spans="4:23" x14ac:dyDescent="0.3">
      <c r="D37" s="2"/>
      <c r="I37" s="7"/>
    </row>
    <row r="38" spans="4:23" x14ac:dyDescent="0.3"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4:23" x14ac:dyDescent="0.3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4:23" x14ac:dyDescent="0.3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DDAF-16D8-40D4-8656-D048765803AC}">
  <dimension ref="A1:T49"/>
  <sheetViews>
    <sheetView zoomScale="115" zoomScaleNormal="115" workbookViewId="0">
      <selection activeCell="A20" sqref="A20"/>
    </sheetView>
  </sheetViews>
  <sheetFormatPr defaultRowHeight="14.4" x14ac:dyDescent="0.3"/>
  <cols>
    <col min="4" max="4" width="11" bestFit="1" customWidth="1"/>
  </cols>
  <sheetData>
    <row r="1" spans="1:19" x14ac:dyDescent="0.3">
      <c r="A1" t="s">
        <v>19</v>
      </c>
      <c r="B1" s="1" t="str">
        <f>[19]pn_f0_exc_b0!B1</f>
        <v>estimate</v>
      </c>
      <c r="C1" s="1" t="str">
        <f>[19]pn_f0_exc_b0!C1</f>
        <v>conf.low</v>
      </c>
      <c r="D1" s="1" t="str">
        <f>[19]pn_f0_exc_b0!D1</f>
        <v>conf.high</v>
      </c>
      <c r="E1" s="1" t="str">
        <f>[19]pn_f0_exc_b0!E1</f>
        <v>std.error</v>
      </c>
      <c r="F1" t="str">
        <f>F7</f>
        <v>CI diff</v>
      </c>
    </row>
    <row r="2" spans="1:19" x14ac:dyDescent="0.3">
      <c r="A2" s="3" t="str">
        <f>RIGHT([19]pn_f0_exc_b0!A2,5)</f>
        <v>syls0</v>
      </c>
      <c r="B2" s="1">
        <f>[19]pn_f0_exc_b0!B2</f>
        <v>2.25</v>
      </c>
      <c r="C2" s="1">
        <f>[19]pn_f0_exc_b0!C2</f>
        <v>1.2193754869086899</v>
      </c>
      <c r="D2" s="1">
        <f>[19]pn_f0_exc_b0!D2</f>
        <v>3.2871948464253302</v>
      </c>
      <c r="E2" s="1">
        <f>[19]pn_f0_exc_b0!E2</f>
        <v>0.48</v>
      </c>
      <c r="F2" s="13">
        <f>B2-C2</f>
        <v>1.0306245130913101</v>
      </c>
      <c r="R2" s="42" t="s">
        <v>24</v>
      </c>
      <c r="S2" s="43"/>
    </row>
    <row r="3" spans="1:19" x14ac:dyDescent="0.3">
      <c r="A3" s="3" t="str">
        <f>RIGHT([19]pn_f0_exc_b0!A3,5)</f>
        <v>syls1</v>
      </c>
      <c r="B3" s="1">
        <f>[19]pn_f0_exc_b0!B3</f>
        <v>2.19</v>
      </c>
      <c r="C3" s="1">
        <f>[19]pn_f0_exc_b0!C3</f>
        <v>3.71627578716653E-2</v>
      </c>
      <c r="D3" s="1">
        <f>[19]pn_f0_exc_b0!D3</f>
        <v>4.3492149985115196</v>
      </c>
      <c r="E3" s="1">
        <f>[19]pn_f0_exc_b0!E3</f>
        <v>0.84</v>
      </c>
      <c r="F3" s="13">
        <f t="shared" ref="F3:F5" si="0">B3-C3</f>
        <v>2.1528372421283346</v>
      </c>
      <c r="R3" s="44" t="s">
        <v>25</v>
      </c>
      <c r="S3" s="45"/>
    </row>
    <row r="4" spans="1:19" x14ac:dyDescent="0.3">
      <c r="A4" s="3" t="str">
        <f>RIGHT([19]pn_f0_exc_b0!A4,5)</f>
        <v>syls2</v>
      </c>
      <c r="B4" s="1">
        <f>[19]pn_f0_exc_b0!B4</f>
        <v>3.25</v>
      </c>
      <c r="C4" s="1">
        <f>[19]pn_f0_exc_b0!C4</f>
        <v>1.10274649319997</v>
      </c>
      <c r="D4" s="1">
        <f>[19]pn_f0_exc_b0!D4</f>
        <v>5.3896313290389104</v>
      </c>
      <c r="E4" s="1">
        <f>[19]pn_f0_exc_b0!E4</f>
        <v>0.86</v>
      </c>
      <c r="F4" s="13">
        <f t="shared" si="0"/>
        <v>2.14725350680003</v>
      </c>
    </row>
    <row r="5" spans="1:19" x14ac:dyDescent="0.3">
      <c r="A5" s="3" t="str">
        <f>RIGHT([19]pn_f0_exc_b0!A5,5)</f>
        <v>syls3</v>
      </c>
      <c r="B5" s="1">
        <f>[19]pn_f0_exc_b0!B5</f>
        <v>2.74</v>
      </c>
      <c r="C5" s="1">
        <f>[19]pn_f0_exc_b0!C5</f>
        <v>0.59682035643766795</v>
      </c>
      <c r="D5" s="1">
        <f>[19]pn_f0_exc_b0!D5</f>
        <v>4.8835889161651904</v>
      </c>
      <c r="E5" s="1">
        <f>[19]pn_f0_exc_b0!E5</f>
        <v>0.86</v>
      </c>
      <c r="F5" s="13">
        <f t="shared" si="0"/>
        <v>2.1431796435623323</v>
      </c>
    </row>
    <row r="6" spans="1:19" x14ac:dyDescent="0.3">
      <c r="B6" s="1"/>
      <c r="C6" s="1"/>
      <c r="D6" s="1"/>
      <c r="E6" s="1"/>
      <c r="F6" s="13"/>
    </row>
    <row r="7" spans="1:19" x14ac:dyDescent="0.3">
      <c r="A7" t="s">
        <v>20</v>
      </c>
      <c r="B7" s="1" t="str">
        <f>B1</f>
        <v>estimate</v>
      </c>
      <c r="C7" s="1" t="str">
        <f t="shared" ref="C7:E7" si="1">C1</f>
        <v>conf.low</v>
      </c>
      <c r="D7" s="1" t="str">
        <f t="shared" si="1"/>
        <v>conf.high</v>
      </c>
      <c r="E7" s="1" t="str">
        <f t="shared" si="1"/>
        <v>std.error</v>
      </c>
      <c r="F7" t="s">
        <v>10</v>
      </c>
    </row>
    <row r="8" spans="1:19" x14ac:dyDescent="0.3">
      <c r="A8" s="3" t="str">
        <f>RIGHT([20]pn_lh_slope_b0!A2,5)</f>
        <v>syls0</v>
      </c>
      <c r="B8" s="1">
        <f>[20]pn_lh_slope_b0!B2</f>
        <v>2.67</v>
      </c>
      <c r="C8" s="1">
        <f>[20]pn_lh_slope_b0!C2</f>
        <v>2.2444539271720498</v>
      </c>
      <c r="D8" s="1">
        <f>[20]pn_lh_slope_b0!D2</f>
        <v>3.09445969557542</v>
      </c>
      <c r="E8" s="1">
        <f>[20]pn_lh_slope_b0!E2</f>
        <v>0.19</v>
      </c>
      <c r="F8" s="13">
        <f>B8-C8</f>
        <v>0.42554607282795009</v>
      </c>
    </row>
    <row r="9" spans="1:19" x14ac:dyDescent="0.3">
      <c r="A9" s="3" t="str">
        <f>RIGHT([20]pn_lh_slope_b0!A3,5)</f>
        <v>syls1</v>
      </c>
      <c r="B9" s="1">
        <f>[20]pn_lh_slope_b0!B3</f>
        <v>2.73</v>
      </c>
      <c r="C9" s="1">
        <f>[20]pn_lh_slope_b0!C3</f>
        <v>1.79172008297501</v>
      </c>
      <c r="D9" s="1">
        <f>[20]pn_lh_slope_b0!D3</f>
        <v>3.662384469864</v>
      </c>
      <c r="E9" s="1">
        <f>[20]pn_lh_slope_b0!E3</f>
        <v>0.32</v>
      </c>
      <c r="F9" s="13">
        <f>B9-C9</f>
        <v>0.93827991702499003</v>
      </c>
    </row>
    <row r="10" spans="1:19" x14ac:dyDescent="0.3">
      <c r="A10" s="3" t="str">
        <f>RIGHT([20]pn_lh_slope_b0!A4,5)</f>
        <v>syls2</v>
      </c>
      <c r="B10" s="1">
        <f>[20]pn_lh_slope_b0!B4</f>
        <v>2.9</v>
      </c>
      <c r="C10" s="1">
        <f>[20]pn_lh_slope_b0!C4</f>
        <v>1.9889242999987899</v>
      </c>
      <c r="D10" s="1">
        <f>[20]pn_lh_slope_b0!D4</f>
        <v>3.8174185660920301</v>
      </c>
      <c r="E10" s="1">
        <f>[20]pn_lh_slope_b0!E4</f>
        <v>0.33</v>
      </c>
      <c r="F10" s="13">
        <f>B10-C10</f>
        <v>0.91107570000120996</v>
      </c>
    </row>
    <row r="11" spans="1:19" x14ac:dyDescent="0.3">
      <c r="A11" s="3" t="str">
        <f>RIGHT([20]pn_lh_slope_b0!A5,5)</f>
        <v>syls3</v>
      </c>
      <c r="B11" s="1">
        <f>[20]pn_lh_slope_b0!B5</f>
        <v>2.77</v>
      </c>
      <c r="C11" s="1">
        <f>[20]pn_lh_slope_b0!C5</f>
        <v>1.8541376361439801</v>
      </c>
      <c r="D11" s="1">
        <f>[20]pn_lh_slope_b0!D5</f>
        <v>3.6785445274248301</v>
      </c>
      <c r="E11" s="1">
        <f>[20]pn_lh_slope_b0!E5</f>
        <v>0.33</v>
      </c>
      <c r="F11" s="13">
        <f>B11-C11</f>
        <v>0.91586236385601993</v>
      </c>
    </row>
    <row r="13" spans="1:19" x14ac:dyDescent="0.3">
      <c r="B13" t="s">
        <v>21</v>
      </c>
      <c r="C13" t="s">
        <v>22</v>
      </c>
    </row>
    <row r="14" spans="1:19" x14ac:dyDescent="0.3">
      <c r="A14" s="3" t="str">
        <f>A15</f>
        <v>syls0</v>
      </c>
      <c r="B14">
        <v>0</v>
      </c>
      <c r="C14" s="1">
        <v>0</v>
      </c>
      <c r="D14" s="2">
        <f>C14</f>
        <v>0</v>
      </c>
    </row>
    <row r="15" spans="1:19" x14ac:dyDescent="0.3">
      <c r="A15" s="3" t="str">
        <f>A8</f>
        <v>syls0</v>
      </c>
      <c r="B15">
        <v>1</v>
      </c>
      <c r="C15" s="1">
        <f>B8</f>
        <v>2.67</v>
      </c>
      <c r="D15" s="2">
        <f>EXP(C15)</f>
        <v>14.439969192802881</v>
      </c>
    </row>
    <row r="16" spans="1:19" x14ac:dyDescent="0.3">
      <c r="A16" s="3" t="str">
        <f>A17</f>
        <v>syls1</v>
      </c>
      <c r="B16">
        <v>0</v>
      </c>
      <c r="C16" s="1">
        <v>0</v>
      </c>
      <c r="D16" s="2">
        <f t="shared" ref="D16" si="2">C16</f>
        <v>0</v>
      </c>
      <c r="E16" s="2"/>
      <c r="F16" s="13"/>
    </row>
    <row r="17" spans="1:20" x14ac:dyDescent="0.3">
      <c r="A17" s="3" t="str">
        <f>A9</f>
        <v>syls1</v>
      </c>
      <c r="B17">
        <f>B15</f>
        <v>1</v>
      </c>
      <c r="C17" s="1">
        <f>B9</f>
        <v>2.73</v>
      </c>
      <c r="D17" s="2">
        <f t="shared" ref="D17" si="3">EXP(C17)</f>
        <v>15.332887019907195</v>
      </c>
      <c r="E17" s="2"/>
      <c r="F17" s="13"/>
    </row>
    <row r="18" spans="1:20" x14ac:dyDescent="0.3">
      <c r="A18" s="3" t="str">
        <f>A19</f>
        <v>syls2</v>
      </c>
      <c r="B18">
        <v>0</v>
      </c>
      <c r="C18" s="1">
        <v>0</v>
      </c>
      <c r="D18" s="2">
        <f t="shared" ref="D18" si="4">C18</f>
        <v>0</v>
      </c>
      <c r="E18" s="2"/>
      <c r="F18" s="13"/>
    </row>
    <row r="19" spans="1:20" x14ac:dyDescent="0.3">
      <c r="A19" s="3" t="str">
        <f>A10</f>
        <v>syls2</v>
      </c>
      <c r="B19">
        <f>B17</f>
        <v>1</v>
      </c>
      <c r="C19" s="1">
        <f>B10</f>
        <v>2.9</v>
      </c>
      <c r="D19" s="2">
        <f t="shared" ref="D19" si="5">EXP(C19)</f>
        <v>18.17414536944306</v>
      </c>
      <c r="E19" s="2"/>
      <c r="F19" s="13"/>
      <c r="T19" t="s">
        <v>23</v>
      </c>
    </row>
    <row r="20" spans="1:20" x14ac:dyDescent="0.3">
      <c r="A20" s="3" t="str">
        <f>A21</f>
        <v>syls3</v>
      </c>
      <c r="B20">
        <v>0</v>
      </c>
      <c r="C20" s="1">
        <v>0</v>
      </c>
      <c r="D20" s="2">
        <f t="shared" ref="D20" si="6">C20</f>
        <v>0</v>
      </c>
    </row>
    <row r="21" spans="1:20" x14ac:dyDescent="0.3">
      <c r="A21" s="3" t="str">
        <f>A11</f>
        <v>syls3</v>
      </c>
      <c r="B21">
        <f>B19</f>
        <v>1</v>
      </c>
      <c r="C21" s="1">
        <f>B11</f>
        <v>2.77</v>
      </c>
      <c r="D21" s="2">
        <f t="shared" ref="D21" si="7">EXP(C21)</f>
        <v>15.958634009794029</v>
      </c>
    </row>
    <row r="22" spans="1:20" x14ac:dyDescent="0.3">
      <c r="F22" s="14"/>
    </row>
    <row r="23" spans="1:20" x14ac:dyDescent="0.3">
      <c r="A23" t="str">
        <f>A7</f>
        <v>lh_slope</v>
      </c>
      <c r="B23" t="str">
        <f>B7</f>
        <v>estimate</v>
      </c>
    </row>
    <row r="24" spans="1:20" x14ac:dyDescent="0.3">
      <c r="A24" t="str">
        <f>A8</f>
        <v>syls0</v>
      </c>
      <c r="B24" s="1">
        <f>EXP(B8)</f>
        <v>14.439969192802881</v>
      </c>
      <c r="C24" s="1"/>
      <c r="D24" s="1"/>
      <c r="E24" s="1"/>
      <c r="F24" s="1"/>
    </row>
    <row r="25" spans="1:20" x14ac:dyDescent="0.3">
      <c r="A25" t="str">
        <f>A9</f>
        <v>syls1</v>
      </c>
      <c r="B25" s="1">
        <f t="shared" ref="B25:B27" si="8">EXP(B9)</f>
        <v>15.332887019907195</v>
      </c>
      <c r="C25" s="1"/>
      <c r="D25" s="1"/>
      <c r="E25" s="1"/>
      <c r="F25" s="1"/>
    </row>
    <row r="26" spans="1:20" x14ac:dyDescent="0.3">
      <c r="A26" t="str">
        <f>A10</f>
        <v>syls2</v>
      </c>
      <c r="B26" s="1">
        <f t="shared" si="8"/>
        <v>18.17414536944306</v>
      </c>
      <c r="C26" s="1"/>
      <c r="D26" s="1"/>
      <c r="E26" s="1"/>
      <c r="F26" s="1"/>
    </row>
    <row r="27" spans="1:20" x14ac:dyDescent="0.3">
      <c r="A27" t="str">
        <f>A11</f>
        <v>syls3</v>
      </c>
      <c r="B27" s="1">
        <f t="shared" si="8"/>
        <v>15.958634009794029</v>
      </c>
      <c r="C27" s="1"/>
      <c r="D27" s="1"/>
      <c r="E27" s="1"/>
      <c r="F27" s="1"/>
    </row>
    <row r="31" spans="1:20" x14ac:dyDescent="0.3">
      <c r="A31" s="3"/>
      <c r="C31" s="1"/>
      <c r="D31" s="1"/>
    </row>
    <row r="32" spans="1:20" x14ac:dyDescent="0.3">
      <c r="A32" s="3"/>
      <c r="C32" s="1"/>
      <c r="D32" s="1"/>
    </row>
    <row r="33" spans="1:6" x14ac:dyDescent="0.3">
      <c r="A33" s="3"/>
      <c r="C33" s="1"/>
      <c r="D33" s="1"/>
    </row>
    <row r="34" spans="1:6" x14ac:dyDescent="0.3">
      <c r="A34" s="3"/>
      <c r="C34" s="1"/>
      <c r="D34" s="1"/>
    </row>
    <row r="35" spans="1:6" x14ac:dyDescent="0.3">
      <c r="A35" s="3"/>
      <c r="C35" s="1"/>
      <c r="D35" s="1"/>
    </row>
    <row r="36" spans="1:6" x14ac:dyDescent="0.3">
      <c r="A36" s="3"/>
      <c r="C36" s="1"/>
      <c r="D36" s="1"/>
    </row>
    <row r="37" spans="1:6" x14ac:dyDescent="0.3">
      <c r="A37" s="3"/>
      <c r="C37" s="1"/>
      <c r="D37" s="1"/>
    </row>
    <row r="38" spans="1:6" x14ac:dyDescent="0.3">
      <c r="A38" s="3"/>
      <c r="C38" s="1"/>
      <c r="D38" s="1"/>
    </row>
    <row r="39" spans="1:6" x14ac:dyDescent="0.3">
      <c r="A39" s="3"/>
    </row>
    <row r="40" spans="1:6" x14ac:dyDescent="0.3">
      <c r="A40" s="3"/>
    </row>
    <row r="46" spans="1:6" x14ac:dyDescent="0.3">
      <c r="B46" s="1"/>
      <c r="C46" s="1"/>
      <c r="D46" s="1"/>
      <c r="E46" s="1"/>
      <c r="F46" s="1"/>
    </row>
    <row r="47" spans="1:6" x14ac:dyDescent="0.3">
      <c r="B47" s="1"/>
      <c r="C47" s="1"/>
      <c r="D47" s="1"/>
      <c r="E47" s="1"/>
      <c r="F47" s="1"/>
    </row>
    <row r="48" spans="1:6" x14ac:dyDescent="0.3">
      <c r="B48" s="1"/>
      <c r="C48" s="1"/>
      <c r="D48" s="1"/>
      <c r="E48" s="1"/>
      <c r="F48" s="1"/>
    </row>
    <row r="49" spans="2:6" x14ac:dyDescent="0.3">
      <c r="B49" s="1"/>
      <c r="C49" s="1"/>
      <c r="D49" s="1"/>
      <c r="E49" s="1"/>
      <c r="F49" s="1"/>
    </row>
  </sheetData>
  <mergeCells count="2">
    <mergeCell ref="R2:S2"/>
    <mergeCell ref="R3:S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8D8E-F0EB-4DEA-8BE1-D87AA003D5D5}">
  <dimension ref="A1:I8"/>
  <sheetViews>
    <sheetView showGridLines="0" topLeftCell="A13" zoomScale="115" zoomScaleNormal="115" workbookViewId="0"/>
  </sheetViews>
  <sheetFormatPr defaultRowHeight="14.4" x14ac:dyDescent="0.3"/>
  <cols>
    <col min="1" max="1" width="18" customWidth="1"/>
    <col min="4" max="4" width="13.5546875" customWidth="1"/>
  </cols>
  <sheetData>
    <row r="1" spans="1:9" ht="15" thickBot="1" x14ac:dyDescent="0.35">
      <c r="A1" s="35" t="s">
        <v>40</v>
      </c>
      <c r="B1" s="34" t="s">
        <v>39</v>
      </c>
      <c r="C1" s="34" t="s">
        <v>38</v>
      </c>
      <c r="D1" s="34" t="s">
        <v>37</v>
      </c>
      <c r="E1" s="34" t="s">
        <v>36</v>
      </c>
      <c r="F1" s="34" t="s">
        <v>35</v>
      </c>
      <c r="G1" s="34" t="s">
        <v>34</v>
      </c>
      <c r="H1" s="34" t="s">
        <v>33</v>
      </c>
      <c r="I1" s="34" t="s">
        <v>26</v>
      </c>
    </row>
    <row r="2" spans="1:9" ht="15.6" thickTop="1" thickBot="1" x14ac:dyDescent="0.35">
      <c r="A2" s="20" t="s">
        <v>32</v>
      </c>
      <c r="B2" s="19">
        <v>1</v>
      </c>
      <c r="C2" s="19">
        <v>0</v>
      </c>
      <c r="D2" s="19">
        <v>1</v>
      </c>
      <c r="E2" s="25">
        <v>1</v>
      </c>
      <c r="F2" s="33">
        <v>35</v>
      </c>
      <c r="G2" s="32">
        <v>6</v>
      </c>
      <c r="H2" s="31">
        <v>13</v>
      </c>
      <c r="I2" s="30">
        <v>55</v>
      </c>
    </row>
    <row r="3" spans="1:9" ht="15" thickBot="1" x14ac:dyDescent="0.35">
      <c r="A3" s="20" t="s">
        <v>31</v>
      </c>
      <c r="B3" s="19">
        <v>1</v>
      </c>
      <c r="C3" s="19">
        <v>0</v>
      </c>
      <c r="D3" s="19">
        <v>2</v>
      </c>
      <c r="E3" s="17">
        <v>1</v>
      </c>
      <c r="F3" s="29">
        <v>46</v>
      </c>
      <c r="G3" s="28">
        <v>5</v>
      </c>
      <c r="H3" s="16">
        <v>4</v>
      </c>
      <c r="I3" s="21">
        <v>56</v>
      </c>
    </row>
    <row r="4" spans="1:9" ht="14.25" customHeight="1" thickBot="1" x14ac:dyDescent="0.35">
      <c r="A4" s="20" t="s">
        <v>30</v>
      </c>
      <c r="B4" s="19">
        <v>2</v>
      </c>
      <c r="C4" s="19">
        <v>0</v>
      </c>
      <c r="D4" s="19">
        <v>2</v>
      </c>
      <c r="E4" s="26">
        <v>3</v>
      </c>
      <c r="F4" s="27">
        <v>48</v>
      </c>
      <c r="G4" s="23">
        <v>2</v>
      </c>
      <c r="H4" s="26">
        <v>3</v>
      </c>
      <c r="I4" s="21">
        <v>56</v>
      </c>
    </row>
    <row r="5" spans="1:9" ht="26.25" customHeight="1" thickBot="1" x14ac:dyDescent="0.35">
      <c r="A5" s="20" t="s">
        <v>29</v>
      </c>
      <c r="B5" s="19">
        <v>2</v>
      </c>
      <c r="C5" s="19">
        <v>0</v>
      </c>
      <c r="D5" s="19">
        <v>3</v>
      </c>
      <c r="E5" s="17">
        <v>1</v>
      </c>
      <c r="F5" s="24">
        <v>35</v>
      </c>
      <c r="G5" s="26">
        <v>3</v>
      </c>
      <c r="H5" s="17">
        <v>1</v>
      </c>
      <c r="I5" s="25">
        <v>40</v>
      </c>
    </row>
    <row r="6" spans="1:9" ht="15" thickBot="1" x14ac:dyDescent="0.35">
      <c r="A6" s="20" t="s">
        <v>28</v>
      </c>
      <c r="B6" s="19">
        <v>3</v>
      </c>
      <c r="C6" s="19">
        <v>1</v>
      </c>
      <c r="D6" s="19">
        <v>1</v>
      </c>
      <c r="E6" s="17">
        <v>1</v>
      </c>
      <c r="F6" s="24">
        <v>35</v>
      </c>
      <c r="G6" s="23">
        <v>2</v>
      </c>
      <c r="H6" s="22">
        <v>18</v>
      </c>
      <c r="I6" s="21">
        <v>56</v>
      </c>
    </row>
    <row r="7" spans="1:9" ht="15" thickBot="1" x14ac:dyDescent="0.35">
      <c r="A7" s="20" t="s">
        <v>27</v>
      </c>
      <c r="B7" s="19">
        <v>3</v>
      </c>
      <c r="C7" s="19">
        <v>1</v>
      </c>
      <c r="D7" s="19">
        <v>2</v>
      </c>
      <c r="E7" s="17">
        <v>1</v>
      </c>
      <c r="F7" s="18">
        <v>51</v>
      </c>
      <c r="G7" s="17">
        <v>1</v>
      </c>
      <c r="H7" s="16">
        <v>4</v>
      </c>
      <c r="I7" s="15">
        <v>57</v>
      </c>
    </row>
    <row r="8" spans="1:9" x14ac:dyDescent="0.3">
      <c r="A8" s="37" t="s">
        <v>26</v>
      </c>
      <c r="B8" s="38"/>
      <c r="C8" s="38"/>
      <c r="D8" s="38"/>
      <c r="E8" s="36">
        <v>8</v>
      </c>
      <c r="F8" s="39">
        <v>250</v>
      </c>
      <c r="G8" s="40">
        <v>19</v>
      </c>
      <c r="H8" s="41">
        <v>43</v>
      </c>
      <c r="I8" s="38">
        <v>320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nuc foot</vt:lpstr>
      <vt:lpstr>nuc pre</vt:lpstr>
      <vt:lpstr>nuc slope exc</vt:lpstr>
      <vt:lpstr>pn foot</vt:lpstr>
      <vt:lpstr>pn ana</vt:lpstr>
      <vt:lpstr>pn slope exc</vt:lpstr>
      <vt:lpstr>PN Word Boundaries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dcterms:created xsi:type="dcterms:W3CDTF">2022-08-13T23:16:22Z</dcterms:created>
  <dcterms:modified xsi:type="dcterms:W3CDTF">2022-09-01T22:14:15Z</dcterms:modified>
</cp:coreProperties>
</file>