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75" yWindow="2925" windowWidth="16995" windowHeight="7860" activeTab="1"/>
  </bookViews>
  <sheets>
    <sheet name="PARÁMETROS" sheetId="2" r:id="rId1"/>
    <sheet name="ANTIPASTO 500" sheetId="3" r:id="rId2"/>
    <sheet name="MOUSSE 230" sheetId="4" r:id="rId3"/>
    <sheet name="CCOS.PARCHITA 500" sheetId="5" r:id="rId4"/>
    <sheet name="LECHOSA 500" sheetId="21" r:id="rId5"/>
    <sheet name="LECHOSA PIÑA 500" sheetId="6" r:id="rId6"/>
    <sheet name="DURAZNOS ALM 500" sheetId="7" r:id="rId7"/>
    <sheet name="CCOS.GUAYABA 500" sheetId="8" r:id="rId8"/>
    <sheet name="M PIMENTÓN 200" sheetId="9" r:id="rId9"/>
    <sheet name="M DURAZNO 200" sheetId="16" r:id="rId10"/>
    <sheet name="M GUAYABA 200" sheetId="10" r:id="rId11"/>
    <sheet name="M GUAYABA 1K" sheetId="19" r:id="rId12"/>
    <sheet name="M MORA 200" sheetId="18" r:id="rId13"/>
    <sheet name="M PIÑA 200" sheetId="20" r:id="rId14"/>
    <sheet name="M GUAYABA 4K" sheetId="11" r:id="rId15"/>
    <sheet name="M FRESA 200" sheetId="12" r:id="rId16"/>
    <sheet name="CCS PARCHITA 600" sheetId="13" r:id="rId17"/>
    <sheet name="EN BLANCO 5" sheetId="14" r:id="rId18"/>
  </sheets>
  <definedNames>
    <definedName name="_xlnm._FilterDatabase" localSheetId="12" hidden="1">'M MORA 200'!#REF!</definedName>
    <definedName name="_xlnm._FilterDatabase" localSheetId="0" hidden="1">PARÁMETROS!$A$1:$D$62</definedName>
  </definedNames>
  <calcPr calcId="124519"/>
</workbook>
</file>

<file path=xl/calcChain.xml><?xml version="1.0" encoding="utf-8"?>
<calcChain xmlns="http://schemas.openxmlformats.org/spreadsheetml/2006/main">
  <c r="H37" i="3"/>
  <c r="C57" i="2"/>
  <c r="D6" i="3" l="1"/>
  <c r="H11" i="2" l="1"/>
  <c r="H6"/>
  <c r="G38" l="1"/>
  <c r="A5" i="13" l="1"/>
  <c r="B5"/>
  <c r="C5"/>
  <c r="E6"/>
  <c r="F6"/>
  <c r="G6"/>
  <c r="E7"/>
  <c r="F7"/>
  <c r="G7" s="1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F20"/>
  <c r="A21"/>
  <c r="B21"/>
  <c r="E21"/>
  <c r="G20" l="1"/>
  <c r="I11" i="2" l="1"/>
  <c r="B6" i="12" l="1"/>
  <c r="C6"/>
  <c r="A6"/>
  <c r="E26"/>
  <c r="B26"/>
  <c r="A26"/>
  <c r="E24"/>
  <c r="C24"/>
  <c r="F24" s="1"/>
  <c r="G24" s="1"/>
  <c r="B24"/>
  <c r="A24"/>
  <c r="E23"/>
  <c r="C23"/>
  <c r="F23" s="1"/>
  <c r="G23" s="1"/>
  <c r="B23"/>
  <c r="A23"/>
  <c r="E22"/>
  <c r="C22"/>
  <c r="F22" s="1"/>
  <c r="G22" s="1"/>
  <c r="B22"/>
  <c r="A22"/>
  <c r="E21"/>
  <c r="C21"/>
  <c r="F21" s="1"/>
  <c r="G21" s="1"/>
  <c r="B21"/>
  <c r="A21"/>
  <c r="E20"/>
  <c r="C20"/>
  <c r="F20" s="1"/>
  <c r="G20" s="1"/>
  <c r="B20"/>
  <c r="A20"/>
  <c r="E19"/>
  <c r="C19"/>
  <c r="F19" s="1"/>
  <c r="G19" s="1"/>
  <c r="B19"/>
  <c r="A19"/>
  <c r="E18"/>
  <c r="C18"/>
  <c r="F18" s="1"/>
  <c r="G18" s="1"/>
  <c r="B18"/>
  <c r="A18"/>
  <c r="E17"/>
  <c r="C17"/>
  <c r="F17" s="1"/>
  <c r="G17" s="1"/>
  <c r="B17"/>
  <c r="A17"/>
  <c r="E16"/>
  <c r="C16"/>
  <c r="F16" s="1"/>
  <c r="G16" s="1"/>
  <c r="B16"/>
  <c r="A16"/>
  <c r="E15"/>
  <c r="B15"/>
  <c r="A15"/>
  <c r="E14"/>
  <c r="C14"/>
  <c r="F14" s="1"/>
  <c r="G14" s="1"/>
  <c r="B14"/>
  <c r="A14"/>
  <c r="E13"/>
  <c r="C13"/>
  <c r="F13" s="1"/>
  <c r="G13" s="1"/>
  <c r="B13"/>
  <c r="A13"/>
  <c r="D12"/>
  <c r="E12" s="1"/>
  <c r="C12"/>
  <c r="B12"/>
  <c r="A12"/>
  <c r="D11"/>
  <c r="E11" s="1"/>
  <c r="C11"/>
  <c r="B11"/>
  <c r="A11"/>
  <c r="D10"/>
  <c r="E10" s="1"/>
  <c r="C10"/>
  <c r="B10"/>
  <c r="A10"/>
  <c r="D9"/>
  <c r="E9" s="1"/>
  <c r="C9"/>
  <c r="B9"/>
  <c r="A9"/>
  <c r="E8"/>
  <c r="C8"/>
  <c r="F8" s="1"/>
  <c r="G8" s="1"/>
  <c r="B8"/>
  <c r="A8"/>
  <c r="E7"/>
  <c r="C7"/>
  <c r="F7" s="1"/>
  <c r="G7" s="1"/>
  <c r="B7"/>
  <c r="A7"/>
  <c r="E6"/>
  <c r="F6"/>
  <c r="C5"/>
  <c r="B5"/>
  <c r="A5"/>
  <c r="G6" l="1"/>
  <c r="F9"/>
  <c r="G9" s="1"/>
  <c r="F10"/>
  <c r="G10" s="1"/>
  <c r="F11"/>
  <c r="G11" s="1"/>
  <c r="F12"/>
  <c r="G12" s="1"/>
  <c r="E25" i="21"/>
  <c r="B25"/>
  <c r="A25"/>
  <c r="E23"/>
  <c r="C23"/>
  <c r="F23" s="1"/>
  <c r="G23" s="1"/>
  <c r="B23"/>
  <c r="A23"/>
  <c r="E22"/>
  <c r="C22"/>
  <c r="F22" s="1"/>
  <c r="G22" s="1"/>
  <c r="B22"/>
  <c r="A22"/>
  <c r="E21"/>
  <c r="C21"/>
  <c r="F21" s="1"/>
  <c r="G21" s="1"/>
  <c r="B21"/>
  <c r="A21"/>
  <c r="E20"/>
  <c r="C20"/>
  <c r="F20" s="1"/>
  <c r="G20" s="1"/>
  <c r="B20"/>
  <c r="A20"/>
  <c r="E19"/>
  <c r="C19"/>
  <c r="F19" s="1"/>
  <c r="G19" s="1"/>
  <c r="B19"/>
  <c r="A19"/>
  <c r="E18"/>
  <c r="C18"/>
  <c r="F18" s="1"/>
  <c r="G18" s="1"/>
  <c r="B18"/>
  <c r="A18"/>
  <c r="E17"/>
  <c r="C17"/>
  <c r="F17" s="1"/>
  <c r="G17" s="1"/>
  <c r="B17"/>
  <c r="A17"/>
  <c r="D16"/>
  <c r="C16"/>
  <c r="B16"/>
  <c r="A16"/>
  <c r="E15"/>
  <c r="C15"/>
  <c r="F15" s="1"/>
  <c r="G15" s="1"/>
  <c r="B15"/>
  <c r="A15"/>
  <c r="E14"/>
  <c r="C14"/>
  <c r="F14" s="1"/>
  <c r="G14" s="1"/>
  <c r="B14"/>
  <c r="A14"/>
  <c r="E13"/>
  <c r="D12"/>
  <c r="C12"/>
  <c r="B12"/>
  <c r="A12"/>
  <c r="E11"/>
  <c r="D11"/>
  <c r="C11"/>
  <c r="B11"/>
  <c r="A11"/>
  <c r="D10"/>
  <c r="C10"/>
  <c r="B10"/>
  <c r="A10"/>
  <c r="E9"/>
  <c r="B9"/>
  <c r="A9"/>
  <c r="E8"/>
  <c r="C8"/>
  <c r="F8" s="1"/>
  <c r="G8" s="1"/>
  <c r="B8"/>
  <c r="A8"/>
  <c r="E7"/>
  <c r="C7"/>
  <c r="F7" s="1"/>
  <c r="G7" s="1"/>
  <c r="B7"/>
  <c r="A7"/>
  <c r="E6"/>
  <c r="C6"/>
  <c r="F6" s="1"/>
  <c r="B6"/>
  <c r="A6"/>
  <c r="C5"/>
  <c r="B5"/>
  <c r="A5"/>
  <c r="F12" l="1"/>
  <c r="G12" s="1"/>
  <c r="F10"/>
  <c r="G10" s="1"/>
  <c r="E10"/>
  <c r="F11"/>
  <c r="G11" s="1"/>
  <c r="E12"/>
  <c r="F16"/>
  <c r="G16" s="1"/>
  <c r="G6"/>
  <c r="E16"/>
  <c r="B12" i="19" l="1"/>
  <c r="C12"/>
  <c r="A11"/>
  <c r="H24" i="2" l="1"/>
  <c r="C15" i="12" s="1"/>
  <c r="F15" s="1"/>
  <c r="G15" l="1"/>
  <c r="G25" s="1"/>
  <c r="F25"/>
  <c r="B6" i="20"/>
  <c r="C6"/>
  <c r="F6" s="1"/>
  <c r="A6"/>
  <c r="E26"/>
  <c r="B26"/>
  <c r="A26"/>
  <c r="E24"/>
  <c r="C24"/>
  <c r="F24" s="1"/>
  <c r="G24" s="1"/>
  <c r="B24"/>
  <c r="A24"/>
  <c r="E23"/>
  <c r="C23"/>
  <c r="F23" s="1"/>
  <c r="G23" s="1"/>
  <c r="B23"/>
  <c r="A23"/>
  <c r="E22"/>
  <c r="C22"/>
  <c r="F22" s="1"/>
  <c r="G22" s="1"/>
  <c r="B22"/>
  <c r="A22"/>
  <c r="E21"/>
  <c r="C21"/>
  <c r="F21" s="1"/>
  <c r="G21" s="1"/>
  <c r="B21"/>
  <c r="A21"/>
  <c r="E20"/>
  <c r="C20"/>
  <c r="F20" s="1"/>
  <c r="G20" s="1"/>
  <c r="B20"/>
  <c r="A20"/>
  <c r="E19"/>
  <c r="C19"/>
  <c r="F19" s="1"/>
  <c r="G19" s="1"/>
  <c r="B19"/>
  <c r="A19"/>
  <c r="E18"/>
  <c r="C18"/>
  <c r="F18" s="1"/>
  <c r="G18" s="1"/>
  <c r="B18"/>
  <c r="A18"/>
  <c r="E17"/>
  <c r="C17"/>
  <c r="F17" s="1"/>
  <c r="G17" s="1"/>
  <c r="B17"/>
  <c r="A17"/>
  <c r="E16"/>
  <c r="C16"/>
  <c r="F16" s="1"/>
  <c r="G16" s="1"/>
  <c r="B16"/>
  <c r="A16"/>
  <c r="E15"/>
  <c r="B15"/>
  <c r="A15"/>
  <c r="E14"/>
  <c r="C14"/>
  <c r="B14"/>
  <c r="A14"/>
  <c r="E13"/>
  <c r="C13"/>
  <c r="F13" s="1"/>
  <c r="G13" s="1"/>
  <c r="B13"/>
  <c r="A13"/>
  <c r="D12"/>
  <c r="E12" s="1"/>
  <c r="C12"/>
  <c r="B12"/>
  <c r="A12"/>
  <c r="D11"/>
  <c r="E11" s="1"/>
  <c r="C11"/>
  <c r="B11"/>
  <c r="A11"/>
  <c r="D10"/>
  <c r="E10" s="1"/>
  <c r="C10"/>
  <c r="B10"/>
  <c r="A10"/>
  <c r="D9"/>
  <c r="E9" s="1"/>
  <c r="C9"/>
  <c r="B9"/>
  <c r="A9"/>
  <c r="E8"/>
  <c r="C8"/>
  <c r="F8" s="1"/>
  <c r="G8" s="1"/>
  <c r="B8"/>
  <c r="A8"/>
  <c r="E7"/>
  <c r="C7"/>
  <c r="F7" s="1"/>
  <c r="G7" s="1"/>
  <c r="B7"/>
  <c r="A7"/>
  <c r="E6"/>
  <c r="C5"/>
  <c r="B5"/>
  <c r="A5"/>
  <c r="F14" l="1"/>
  <c r="G14" s="1"/>
  <c r="G6"/>
  <c r="F9"/>
  <c r="G9" s="1"/>
  <c r="F10"/>
  <c r="G10" s="1"/>
  <c r="F11"/>
  <c r="G11" s="1"/>
  <c r="F12"/>
  <c r="G12" s="1"/>
  <c r="B6" i="18" l="1"/>
  <c r="C6"/>
  <c r="F6" s="1"/>
  <c r="G6" s="1"/>
  <c r="A6"/>
  <c r="E26"/>
  <c r="B26"/>
  <c r="A26"/>
  <c r="E24"/>
  <c r="C24"/>
  <c r="F24" s="1"/>
  <c r="G24" s="1"/>
  <c r="B24"/>
  <c r="A24"/>
  <c r="E23"/>
  <c r="C23"/>
  <c r="F23" s="1"/>
  <c r="G23" s="1"/>
  <c r="B23"/>
  <c r="A23"/>
  <c r="E22"/>
  <c r="C22"/>
  <c r="F22" s="1"/>
  <c r="G22" s="1"/>
  <c r="B22"/>
  <c r="A22"/>
  <c r="E21"/>
  <c r="C21"/>
  <c r="F21" s="1"/>
  <c r="G21" s="1"/>
  <c r="B21"/>
  <c r="A21"/>
  <c r="E20"/>
  <c r="C20"/>
  <c r="F20" s="1"/>
  <c r="G20" s="1"/>
  <c r="B20"/>
  <c r="A20"/>
  <c r="E19"/>
  <c r="C19"/>
  <c r="F19" s="1"/>
  <c r="G19" s="1"/>
  <c r="B19"/>
  <c r="A19"/>
  <c r="E18"/>
  <c r="C18"/>
  <c r="F18" s="1"/>
  <c r="G18" s="1"/>
  <c r="B18"/>
  <c r="A18"/>
  <c r="E17"/>
  <c r="C17"/>
  <c r="F17" s="1"/>
  <c r="G17" s="1"/>
  <c r="B17"/>
  <c r="A17"/>
  <c r="E16"/>
  <c r="C16"/>
  <c r="F16" s="1"/>
  <c r="G16" s="1"/>
  <c r="B16"/>
  <c r="A16"/>
  <c r="E15"/>
  <c r="B15"/>
  <c r="A15"/>
  <c r="E14"/>
  <c r="C14"/>
  <c r="F14" s="1"/>
  <c r="G14" s="1"/>
  <c r="B14"/>
  <c r="A14"/>
  <c r="E13"/>
  <c r="C13"/>
  <c r="F13" s="1"/>
  <c r="G13" s="1"/>
  <c r="B13"/>
  <c r="A13"/>
  <c r="D12"/>
  <c r="E12" s="1"/>
  <c r="C12"/>
  <c r="B12"/>
  <c r="A12"/>
  <c r="D11"/>
  <c r="C11"/>
  <c r="B11"/>
  <c r="A11"/>
  <c r="D10"/>
  <c r="C10"/>
  <c r="B10"/>
  <c r="A10"/>
  <c r="D9"/>
  <c r="C9"/>
  <c r="B9"/>
  <c r="A9"/>
  <c r="E8"/>
  <c r="C8"/>
  <c r="F8" s="1"/>
  <c r="G8" s="1"/>
  <c r="B8"/>
  <c r="A8"/>
  <c r="E7"/>
  <c r="C7"/>
  <c r="F7" s="1"/>
  <c r="G7" s="1"/>
  <c r="B7"/>
  <c r="A7"/>
  <c r="E6"/>
  <c r="C5"/>
  <c r="B5"/>
  <c r="A5"/>
  <c r="F9" l="1"/>
  <c r="G9" s="1"/>
  <c r="F10"/>
  <c r="G10" s="1"/>
  <c r="F11"/>
  <c r="G11" s="1"/>
  <c r="E9"/>
  <c r="E10"/>
  <c r="E11"/>
  <c r="F12"/>
  <c r="G12" s="1"/>
  <c r="D13" i="19" l="1"/>
  <c r="D13" i="11"/>
  <c r="D8" i="19"/>
  <c r="D7"/>
  <c r="E7" s="1"/>
  <c r="D8" i="11"/>
  <c r="D7"/>
  <c r="A12" i="19"/>
  <c r="B10"/>
  <c r="C10"/>
  <c r="A10"/>
  <c r="B11"/>
  <c r="C11"/>
  <c r="E27"/>
  <c r="B27"/>
  <c r="A27"/>
  <c r="E25"/>
  <c r="C25"/>
  <c r="F25" s="1"/>
  <c r="G25" s="1"/>
  <c r="B25"/>
  <c r="A25"/>
  <c r="E24"/>
  <c r="C24"/>
  <c r="F24" s="1"/>
  <c r="G24" s="1"/>
  <c r="B24"/>
  <c r="A24"/>
  <c r="E23"/>
  <c r="C23"/>
  <c r="F23" s="1"/>
  <c r="G23" s="1"/>
  <c r="B23"/>
  <c r="A23"/>
  <c r="E22"/>
  <c r="C22"/>
  <c r="F22" s="1"/>
  <c r="G22" s="1"/>
  <c r="B22"/>
  <c r="A22"/>
  <c r="E21"/>
  <c r="C21"/>
  <c r="F21" s="1"/>
  <c r="G21" s="1"/>
  <c r="B21"/>
  <c r="A21"/>
  <c r="E20"/>
  <c r="C20"/>
  <c r="F20" s="1"/>
  <c r="G20" s="1"/>
  <c r="B20"/>
  <c r="A20"/>
  <c r="E19"/>
  <c r="C19"/>
  <c r="F19" s="1"/>
  <c r="G19" s="1"/>
  <c r="B19"/>
  <c r="A19"/>
  <c r="E18"/>
  <c r="C18"/>
  <c r="F18" s="1"/>
  <c r="G18" s="1"/>
  <c r="B18"/>
  <c r="A18"/>
  <c r="E17"/>
  <c r="C17"/>
  <c r="F17" s="1"/>
  <c r="G17" s="1"/>
  <c r="B17"/>
  <c r="A17"/>
  <c r="E16"/>
  <c r="B16"/>
  <c r="A16"/>
  <c r="E15"/>
  <c r="C15"/>
  <c r="F15" s="1"/>
  <c r="G15" s="1"/>
  <c r="B15"/>
  <c r="A15"/>
  <c r="E14"/>
  <c r="C14"/>
  <c r="F14" s="1"/>
  <c r="G14" s="1"/>
  <c r="B14"/>
  <c r="A14"/>
  <c r="E13"/>
  <c r="C13"/>
  <c r="B13"/>
  <c r="A13"/>
  <c r="D12"/>
  <c r="E12" s="1"/>
  <c r="D11"/>
  <c r="E11" s="1"/>
  <c r="D10"/>
  <c r="E10" s="1"/>
  <c r="E9"/>
  <c r="C9"/>
  <c r="F9" s="1"/>
  <c r="G9" s="1"/>
  <c r="B9"/>
  <c r="A9"/>
  <c r="E8"/>
  <c r="C8"/>
  <c r="F8" s="1"/>
  <c r="G8" s="1"/>
  <c r="B8"/>
  <c r="A8"/>
  <c r="C7"/>
  <c r="F7" s="1"/>
  <c r="G7" s="1"/>
  <c r="B7"/>
  <c r="A7"/>
  <c r="E6"/>
  <c r="C6"/>
  <c r="F6" s="1"/>
  <c r="B6"/>
  <c r="A6"/>
  <c r="C5"/>
  <c r="B5"/>
  <c r="A5"/>
  <c r="G6" l="1"/>
  <c r="F12"/>
  <c r="G12" s="1"/>
  <c r="F10"/>
  <c r="G10" s="1"/>
  <c r="F11"/>
  <c r="G11" s="1"/>
  <c r="F13"/>
  <c r="G13" s="1"/>
  <c r="B12" i="11" l="1"/>
  <c r="C12"/>
  <c r="A12"/>
  <c r="B11"/>
  <c r="C11"/>
  <c r="A11"/>
  <c r="B10" l="1"/>
  <c r="C10"/>
  <c r="A10"/>
  <c r="E6"/>
  <c r="B6"/>
  <c r="C6"/>
  <c r="F6" s="1"/>
  <c r="G6" s="1"/>
  <c r="A6"/>
  <c r="E6" i="10"/>
  <c r="C6"/>
  <c r="F6" s="1"/>
  <c r="B6"/>
  <c r="A6"/>
  <c r="G6" l="1"/>
  <c r="E27" i="11"/>
  <c r="B27"/>
  <c r="A27"/>
  <c r="E25"/>
  <c r="C25"/>
  <c r="F25" s="1"/>
  <c r="G25" s="1"/>
  <c r="B25"/>
  <c r="A25"/>
  <c r="E24"/>
  <c r="C24"/>
  <c r="F24" s="1"/>
  <c r="G24" s="1"/>
  <c r="B24"/>
  <c r="A24"/>
  <c r="E23"/>
  <c r="C23"/>
  <c r="F23" s="1"/>
  <c r="G23" s="1"/>
  <c r="B23"/>
  <c r="A23"/>
  <c r="E22"/>
  <c r="C22"/>
  <c r="F22" s="1"/>
  <c r="G22" s="1"/>
  <c r="B22"/>
  <c r="A22"/>
  <c r="E21"/>
  <c r="C21"/>
  <c r="F21" s="1"/>
  <c r="G21" s="1"/>
  <c r="B21"/>
  <c r="A21"/>
  <c r="E20"/>
  <c r="C20"/>
  <c r="F20" s="1"/>
  <c r="G20" s="1"/>
  <c r="B20"/>
  <c r="A20"/>
  <c r="E19"/>
  <c r="C19"/>
  <c r="F19" s="1"/>
  <c r="G19" s="1"/>
  <c r="B19"/>
  <c r="A19"/>
  <c r="E18"/>
  <c r="C18"/>
  <c r="F18" s="1"/>
  <c r="G18" s="1"/>
  <c r="B18"/>
  <c r="A18"/>
  <c r="E17"/>
  <c r="C17"/>
  <c r="F17" s="1"/>
  <c r="G17" s="1"/>
  <c r="B17"/>
  <c r="A17"/>
  <c r="E16"/>
  <c r="B16"/>
  <c r="A16"/>
  <c r="E15"/>
  <c r="C15"/>
  <c r="F15" s="1"/>
  <c r="G15" s="1"/>
  <c r="B15"/>
  <c r="A15"/>
  <c r="E14"/>
  <c r="C14"/>
  <c r="F14" s="1"/>
  <c r="G14" s="1"/>
  <c r="B14"/>
  <c r="A14"/>
  <c r="E13"/>
  <c r="C13"/>
  <c r="B13"/>
  <c r="A13"/>
  <c r="D12"/>
  <c r="E12" s="1"/>
  <c r="D11"/>
  <c r="E11" s="1"/>
  <c r="D10"/>
  <c r="E10" s="1"/>
  <c r="E9"/>
  <c r="C9"/>
  <c r="F9" s="1"/>
  <c r="G9" s="1"/>
  <c r="B9"/>
  <c r="A9"/>
  <c r="E8"/>
  <c r="C8"/>
  <c r="F8" s="1"/>
  <c r="G8" s="1"/>
  <c r="B8"/>
  <c r="A8"/>
  <c r="E7"/>
  <c r="C7"/>
  <c r="F7" s="1"/>
  <c r="B7"/>
  <c r="A7"/>
  <c r="C5"/>
  <c r="B5"/>
  <c r="A5"/>
  <c r="G7" l="1"/>
  <c r="F13"/>
  <c r="G13" s="1"/>
  <c r="F11"/>
  <c r="G11" s="1"/>
  <c r="F12"/>
  <c r="G12" s="1"/>
  <c r="A22" i="3" l="1"/>
  <c r="H35" i="2" l="1"/>
  <c r="H36"/>
  <c r="H37"/>
  <c r="H38"/>
  <c r="H39"/>
  <c r="H40"/>
  <c r="H34"/>
  <c r="G41"/>
  <c r="H41" l="1"/>
  <c r="E10" i="6"/>
  <c r="B10"/>
  <c r="A10"/>
  <c r="C13" i="2"/>
  <c r="C10" i="6" l="1"/>
  <c r="F10" s="1"/>
  <c r="G10" s="1"/>
  <c r="C9" i="21"/>
  <c r="F9" s="1"/>
  <c r="D13" i="10"/>
  <c r="D15" i="16"/>
  <c r="D15" i="9"/>
  <c r="D16" i="8"/>
  <c r="D15" i="7"/>
  <c r="D15" i="5"/>
  <c r="D19" i="4"/>
  <c r="D17" i="6"/>
  <c r="D28" i="3"/>
  <c r="G9" i="21" l="1"/>
  <c r="C7" i="6"/>
  <c r="D11" i="10"/>
  <c r="D12"/>
  <c r="D10"/>
  <c r="E17"/>
  <c r="E18"/>
  <c r="E19"/>
  <c r="E20"/>
  <c r="E21"/>
  <c r="E22"/>
  <c r="E23"/>
  <c r="E24"/>
  <c r="E25"/>
  <c r="B17"/>
  <c r="C17"/>
  <c r="F17" s="1"/>
  <c r="G17" s="1"/>
  <c r="B18"/>
  <c r="C18"/>
  <c r="F18" s="1"/>
  <c r="G18" s="1"/>
  <c r="B19"/>
  <c r="C19"/>
  <c r="F19" s="1"/>
  <c r="G19" s="1"/>
  <c r="B20"/>
  <c r="C20"/>
  <c r="F20" s="1"/>
  <c r="G20" s="1"/>
  <c r="B21"/>
  <c r="C21"/>
  <c r="F21" s="1"/>
  <c r="G21" s="1"/>
  <c r="B22"/>
  <c r="C22"/>
  <c r="F22" s="1"/>
  <c r="G22" s="1"/>
  <c r="B23"/>
  <c r="C23"/>
  <c r="F23" s="1"/>
  <c r="G23" s="1"/>
  <c r="B24"/>
  <c r="C24"/>
  <c r="F24" s="1"/>
  <c r="G24" s="1"/>
  <c r="B25"/>
  <c r="C25"/>
  <c r="F25" s="1"/>
  <c r="G25" s="1"/>
  <c r="A25"/>
  <c r="A24"/>
  <c r="A23"/>
  <c r="A22"/>
  <c r="A21"/>
  <c r="A20"/>
  <c r="A19"/>
  <c r="A18"/>
  <c r="A17"/>
  <c r="B16"/>
  <c r="B10"/>
  <c r="B11"/>
  <c r="C11"/>
  <c r="B12"/>
  <c r="C12"/>
  <c r="B13"/>
  <c r="C13"/>
  <c r="B14"/>
  <c r="C14"/>
  <c r="B15"/>
  <c r="C15"/>
  <c r="A16"/>
  <c r="A15"/>
  <c r="A14"/>
  <c r="A13"/>
  <c r="A12"/>
  <c r="A11"/>
  <c r="A10"/>
  <c r="B9"/>
  <c r="C9"/>
  <c r="A9"/>
  <c r="B8"/>
  <c r="C8"/>
  <c r="A8"/>
  <c r="B7"/>
  <c r="C7"/>
  <c r="A7"/>
  <c r="E7" i="16" l="1"/>
  <c r="C6"/>
  <c r="F6" s="1"/>
  <c r="B10"/>
  <c r="C10"/>
  <c r="B11"/>
  <c r="C11"/>
  <c r="A10"/>
  <c r="A11"/>
  <c r="B9"/>
  <c r="A9"/>
  <c r="E24"/>
  <c r="B24"/>
  <c r="A24"/>
  <c r="E22"/>
  <c r="C22"/>
  <c r="F22" s="1"/>
  <c r="G22" s="1"/>
  <c r="B22"/>
  <c r="A22"/>
  <c r="E21"/>
  <c r="C21"/>
  <c r="F21" s="1"/>
  <c r="G21" s="1"/>
  <c r="B21"/>
  <c r="A21"/>
  <c r="E20"/>
  <c r="C20"/>
  <c r="F20" s="1"/>
  <c r="G20" s="1"/>
  <c r="B20"/>
  <c r="A20"/>
  <c r="E19"/>
  <c r="C19"/>
  <c r="F19" s="1"/>
  <c r="G19" s="1"/>
  <c r="B19"/>
  <c r="A19"/>
  <c r="E18"/>
  <c r="C18"/>
  <c r="F18" s="1"/>
  <c r="G18" s="1"/>
  <c r="B18"/>
  <c r="A18"/>
  <c r="E17"/>
  <c r="C17"/>
  <c r="F17" s="1"/>
  <c r="G17" s="1"/>
  <c r="B17"/>
  <c r="A17"/>
  <c r="E16"/>
  <c r="C16"/>
  <c r="F16" s="1"/>
  <c r="G16" s="1"/>
  <c r="B16"/>
  <c r="A16"/>
  <c r="C15"/>
  <c r="B15"/>
  <c r="A15"/>
  <c r="E14"/>
  <c r="C14"/>
  <c r="F14" s="1"/>
  <c r="G14" s="1"/>
  <c r="B14"/>
  <c r="A14"/>
  <c r="E13"/>
  <c r="C13"/>
  <c r="F13" s="1"/>
  <c r="G13" s="1"/>
  <c r="B13"/>
  <c r="A13"/>
  <c r="E12"/>
  <c r="D11"/>
  <c r="E11" s="1"/>
  <c r="D10"/>
  <c r="E10" s="1"/>
  <c r="D9"/>
  <c r="E9" s="1"/>
  <c r="E8"/>
  <c r="C8"/>
  <c r="F8" s="1"/>
  <c r="G8" s="1"/>
  <c r="B8"/>
  <c r="A8"/>
  <c r="C7"/>
  <c r="F7" s="1"/>
  <c r="G7" s="1"/>
  <c r="B7"/>
  <c r="A7"/>
  <c r="E6"/>
  <c r="B6"/>
  <c r="A6"/>
  <c r="C5"/>
  <c r="B5"/>
  <c r="A5"/>
  <c r="C6" i="7"/>
  <c r="C6" i="8"/>
  <c r="F15" i="16" l="1"/>
  <c r="G15" s="1"/>
  <c r="E15"/>
  <c r="G6"/>
  <c r="F10"/>
  <c r="G10" s="1"/>
  <c r="F11"/>
  <c r="G11" s="1"/>
  <c r="D14" i="4" l="1"/>
  <c r="D15"/>
  <c r="D13"/>
  <c r="D13" i="6"/>
  <c r="D12"/>
  <c r="D11"/>
  <c r="D10" i="9"/>
  <c r="D11"/>
  <c r="D9"/>
  <c r="D10" i="7"/>
  <c r="D11"/>
  <c r="D9"/>
  <c r="C6" i="9" l="1"/>
  <c r="B22" i="3" l="1"/>
  <c r="C22"/>
  <c r="D10" i="5" l="1"/>
  <c r="D11"/>
  <c r="D9"/>
  <c r="E16" i="9" l="1"/>
  <c r="E17"/>
  <c r="E18"/>
  <c r="E19"/>
  <c r="E20"/>
  <c r="E21"/>
  <c r="E22"/>
  <c r="B16"/>
  <c r="C16"/>
  <c r="F16" s="1"/>
  <c r="G16" s="1"/>
  <c r="B17"/>
  <c r="C17"/>
  <c r="F17" s="1"/>
  <c r="B18"/>
  <c r="C18"/>
  <c r="F18" s="1"/>
  <c r="G18" s="1"/>
  <c r="B19"/>
  <c r="C19"/>
  <c r="F19" s="1"/>
  <c r="G19" s="1"/>
  <c r="B20"/>
  <c r="C20"/>
  <c r="F20" s="1"/>
  <c r="G20" s="1"/>
  <c r="B21"/>
  <c r="C21"/>
  <c r="F21" s="1"/>
  <c r="G21" s="1"/>
  <c r="B22"/>
  <c r="C22"/>
  <c r="F22" s="1"/>
  <c r="G22" s="1"/>
  <c r="A22"/>
  <c r="A21"/>
  <c r="A20"/>
  <c r="A19"/>
  <c r="A18"/>
  <c r="A17"/>
  <c r="A16"/>
  <c r="E17" i="8"/>
  <c r="E18"/>
  <c r="E19"/>
  <c r="E20"/>
  <c r="E21"/>
  <c r="E22"/>
  <c r="E23"/>
  <c r="B17"/>
  <c r="C17"/>
  <c r="F17" s="1"/>
  <c r="G17" s="1"/>
  <c r="B18"/>
  <c r="C18"/>
  <c r="F18" s="1"/>
  <c r="B19"/>
  <c r="C19"/>
  <c r="F19" s="1"/>
  <c r="G19" s="1"/>
  <c r="B20"/>
  <c r="C20"/>
  <c r="F20" s="1"/>
  <c r="G20" s="1"/>
  <c r="B21"/>
  <c r="C21"/>
  <c r="F21" s="1"/>
  <c r="G21" s="1"/>
  <c r="B22"/>
  <c r="C22"/>
  <c r="F22" s="1"/>
  <c r="G22" s="1"/>
  <c r="B23"/>
  <c r="C23"/>
  <c r="F23" s="1"/>
  <c r="G23" s="1"/>
  <c r="A23"/>
  <c r="A22"/>
  <c r="A21"/>
  <c r="A20"/>
  <c r="A19"/>
  <c r="A18"/>
  <c r="A17"/>
  <c r="E22" i="7"/>
  <c r="E16"/>
  <c r="E17"/>
  <c r="E18"/>
  <c r="E19"/>
  <c r="E20"/>
  <c r="E21"/>
  <c r="B16"/>
  <c r="C16"/>
  <c r="F16" s="1"/>
  <c r="G16" s="1"/>
  <c r="B17"/>
  <c r="C17"/>
  <c r="F17" s="1"/>
  <c r="B18"/>
  <c r="C18"/>
  <c r="F18" s="1"/>
  <c r="G18" s="1"/>
  <c r="B19"/>
  <c r="C19"/>
  <c r="F19" s="1"/>
  <c r="G19" s="1"/>
  <c r="B20"/>
  <c r="C20"/>
  <c r="F20" s="1"/>
  <c r="G20" s="1"/>
  <c r="B21"/>
  <c r="C21"/>
  <c r="F21" s="1"/>
  <c r="G21" s="1"/>
  <c r="B22"/>
  <c r="C22"/>
  <c r="F22" s="1"/>
  <c r="G22" s="1"/>
  <c r="A22"/>
  <c r="A21"/>
  <c r="A20"/>
  <c r="A19"/>
  <c r="A18"/>
  <c r="A17"/>
  <c r="A16"/>
  <c r="E18" i="6"/>
  <c r="E19"/>
  <c r="E20"/>
  <c r="E21"/>
  <c r="E22"/>
  <c r="E23"/>
  <c r="E24"/>
  <c r="B18"/>
  <c r="C18"/>
  <c r="F18" s="1"/>
  <c r="G18" s="1"/>
  <c r="B19"/>
  <c r="C19"/>
  <c r="F19" s="1"/>
  <c r="B20"/>
  <c r="C20"/>
  <c r="F20" s="1"/>
  <c r="G20" s="1"/>
  <c r="B21"/>
  <c r="C21"/>
  <c r="F21" s="1"/>
  <c r="G21" s="1"/>
  <c r="B22"/>
  <c r="C22"/>
  <c r="F22" s="1"/>
  <c r="G22" s="1"/>
  <c r="B23"/>
  <c r="C23"/>
  <c r="F23" s="1"/>
  <c r="G23" s="1"/>
  <c r="B24"/>
  <c r="C24"/>
  <c r="F24" s="1"/>
  <c r="G24" s="1"/>
  <c r="A24"/>
  <c r="A23"/>
  <c r="A22"/>
  <c r="A21"/>
  <c r="A20"/>
  <c r="A19"/>
  <c r="A18"/>
  <c r="E22" i="5"/>
  <c r="E16"/>
  <c r="E17"/>
  <c r="E18"/>
  <c r="E19"/>
  <c r="E20"/>
  <c r="E21"/>
  <c r="E20" i="4"/>
  <c r="E21"/>
  <c r="E22"/>
  <c r="E23"/>
  <c r="E24"/>
  <c r="E25"/>
  <c r="E26"/>
  <c r="B16" i="5"/>
  <c r="C16"/>
  <c r="F16" s="1"/>
  <c r="G16" s="1"/>
  <c r="B17"/>
  <c r="C17"/>
  <c r="F17" s="1"/>
  <c r="B18"/>
  <c r="C18"/>
  <c r="F18" s="1"/>
  <c r="G18" s="1"/>
  <c r="B19"/>
  <c r="C19"/>
  <c r="F19" s="1"/>
  <c r="G19" s="1"/>
  <c r="B20"/>
  <c r="C20"/>
  <c r="F20" s="1"/>
  <c r="G20" s="1"/>
  <c r="B21"/>
  <c r="C21"/>
  <c r="F21" s="1"/>
  <c r="G21" s="1"/>
  <c r="B22"/>
  <c r="C22"/>
  <c r="F22" s="1"/>
  <c r="G22" s="1"/>
  <c r="A22"/>
  <c r="A21"/>
  <c r="A20"/>
  <c r="A19"/>
  <c r="A18"/>
  <c r="A17"/>
  <c r="A16"/>
  <c r="B20" i="4"/>
  <c r="C20"/>
  <c r="F20" s="1"/>
  <c r="G20" s="1"/>
  <c r="B21"/>
  <c r="C21"/>
  <c r="F21" s="1"/>
  <c r="B22"/>
  <c r="C22"/>
  <c r="F22" s="1"/>
  <c r="G22" s="1"/>
  <c r="B23"/>
  <c r="C23"/>
  <c r="F23" s="1"/>
  <c r="G23" s="1"/>
  <c r="B24"/>
  <c r="C24"/>
  <c r="F24" s="1"/>
  <c r="G24" s="1"/>
  <c r="B25"/>
  <c r="C25"/>
  <c r="F25" s="1"/>
  <c r="G25" s="1"/>
  <c r="B26"/>
  <c r="C26"/>
  <c r="F26" s="1"/>
  <c r="G26" s="1"/>
  <c r="A26"/>
  <c r="A25"/>
  <c r="A24"/>
  <c r="A23"/>
  <c r="A22"/>
  <c r="A21"/>
  <c r="A20"/>
  <c r="E35" i="3"/>
  <c r="E33"/>
  <c r="E34"/>
  <c r="A35"/>
  <c r="B35"/>
  <c r="C35"/>
  <c r="B33"/>
  <c r="C33"/>
  <c r="F33" s="1"/>
  <c r="B34"/>
  <c r="C34"/>
  <c r="A34"/>
  <c r="A33"/>
  <c r="E29"/>
  <c r="E30"/>
  <c r="E31"/>
  <c r="E32"/>
  <c r="C29"/>
  <c r="F29" s="1"/>
  <c r="C30"/>
  <c r="C31"/>
  <c r="F31" s="1"/>
  <c r="C32"/>
  <c r="B29"/>
  <c r="B30"/>
  <c r="B31"/>
  <c r="B32"/>
  <c r="A32"/>
  <c r="A31"/>
  <c r="A30"/>
  <c r="A29"/>
  <c r="C16" i="19" l="1"/>
  <c r="F16" s="1"/>
  <c r="F26" s="1"/>
  <c r="C15" i="20"/>
  <c r="F15" s="1"/>
  <c r="C15" i="18"/>
  <c r="F15" s="1"/>
  <c r="G32" i="3"/>
  <c r="G16" i="19"/>
  <c r="C16" i="10"/>
  <c r="C16" i="11"/>
  <c r="F16" s="1"/>
  <c r="G16" s="1"/>
  <c r="G30" i="3"/>
  <c r="G34"/>
  <c r="G35"/>
  <c r="F34"/>
  <c r="G33"/>
  <c r="F35"/>
  <c r="G17" i="5"/>
  <c r="G21" i="4"/>
  <c r="G19" i="6"/>
  <c r="G17" i="7"/>
  <c r="G18" i="8"/>
  <c r="G17" i="9"/>
  <c r="F32" i="3"/>
  <c r="G31"/>
  <c r="F30"/>
  <c r="G29"/>
  <c r="G15" i="20" l="1"/>
  <c r="F25"/>
  <c r="G15" i="18"/>
  <c r="F25"/>
  <c r="G26" i="19"/>
  <c r="E21" i="14"/>
  <c r="B21"/>
  <c r="A21"/>
  <c r="F19"/>
  <c r="G19" s="1"/>
  <c r="E19"/>
  <c r="F18"/>
  <c r="G18" s="1"/>
  <c r="E18"/>
  <c r="F17"/>
  <c r="G17" s="1"/>
  <c r="E17"/>
  <c r="F16"/>
  <c r="G16" s="1"/>
  <c r="E16"/>
  <c r="F15"/>
  <c r="G15" s="1"/>
  <c r="E15"/>
  <c r="F14"/>
  <c r="G14" s="1"/>
  <c r="E14"/>
  <c r="F13"/>
  <c r="G13" s="1"/>
  <c r="E13"/>
  <c r="F12"/>
  <c r="G12" s="1"/>
  <c r="E12"/>
  <c r="F11"/>
  <c r="G11" s="1"/>
  <c r="E11"/>
  <c r="F10"/>
  <c r="G10" s="1"/>
  <c r="E10"/>
  <c r="F9"/>
  <c r="G9" s="1"/>
  <c r="E9"/>
  <c r="F8"/>
  <c r="G8" s="1"/>
  <c r="E8"/>
  <c r="F7"/>
  <c r="G7" s="1"/>
  <c r="E7"/>
  <c r="F6"/>
  <c r="F20" s="1"/>
  <c r="E6"/>
  <c r="C5"/>
  <c r="B5"/>
  <c r="A5"/>
  <c r="E15" i="9"/>
  <c r="B15"/>
  <c r="C15"/>
  <c r="A15"/>
  <c r="E16" i="8"/>
  <c r="B16"/>
  <c r="C16"/>
  <c r="A16"/>
  <c r="E15" i="7"/>
  <c r="B15"/>
  <c r="C15"/>
  <c r="F15" s="1"/>
  <c r="G15" s="1"/>
  <c r="A15"/>
  <c r="E17" i="6"/>
  <c r="B17"/>
  <c r="C17"/>
  <c r="F17" s="1"/>
  <c r="G17" s="1"/>
  <c r="A17"/>
  <c r="E15" i="5"/>
  <c r="B15"/>
  <c r="C15"/>
  <c r="F15" s="1"/>
  <c r="G15" s="1"/>
  <c r="A15"/>
  <c r="E12" i="4"/>
  <c r="E19"/>
  <c r="B19"/>
  <c r="C19"/>
  <c r="F19" s="1"/>
  <c r="G19" s="1"/>
  <c r="A19"/>
  <c r="G25" i="18" l="1"/>
  <c r="G25" i="20"/>
  <c r="F16" i="8"/>
  <c r="G16" s="1"/>
  <c r="F15" i="9"/>
  <c r="G15" s="1"/>
  <c r="G6" i="14"/>
  <c r="E28" i="3"/>
  <c r="B28"/>
  <c r="C28"/>
  <c r="A28"/>
  <c r="G28" l="1"/>
  <c r="F28"/>
  <c r="G20" i="14"/>
  <c r="B12" i="4" l="1"/>
  <c r="C12"/>
  <c r="F12" s="1"/>
  <c r="G12" s="1"/>
  <c r="A12"/>
  <c r="A13"/>
  <c r="B13"/>
  <c r="E13"/>
  <c r="D12" i="8" l="1"/>
  <c r="D11"/>
  <c r="D10"/>
  <c r="D24" i="3" l="1"/>
  <c r="D23"/>
  <c r="D22"/>
  <c r="D7" i="4" l="1"/>
  <c r="H27" i="2"/>
  <c r="I27" s="1"/>
  <c r="H28" s="1"/>
  <c r="C62" s="1"/>
  <c r="C49"/>
  <c r="F10" i="11" l="1"/>
  <c r="F26" s="1"/>
  <c r="C38" i="2"/>
  <c r="C13" i="4" s="1"/>
  <c r="F13" s="1"/>
  <c r="G13" s="1"/>
  <c r="C59" i="2"/>
  <c r="G10" i="11" l="1"/>
  <c r="G26" s="1"/>
  <c r="C9" i="16"/>
  <c r="F9" s="1"/>
  <c r="G9" s="1"/>
  <c r="C10" i="10"/>
  <c r="B6" i="8"/>
  <c r="B7"/>
  <c r="C7"/>
  <c r="B8"/>
  <c r="B9"/>
  <c r="C9"/>
  <c r="B10"/>
  <c r="C10"/>
  <c r="B11"/>
  <c r="C11"/>
  <c r="B12"/>
  <c r="C12"/>
  <c r="F12" s="1"/>
  <c r="B14"/>
  <c r="C14"/>
  <c r="B15"/>
  <c r="C15"/>
  <c r="A15"/>
  <c r="A14"/>
  <c r="A12"/>
  <c r="A11"/>
  <c r="A10"/>
  <c r="A9"/>
  <c r="A8"/>
  <c r="A7"/>
  <c r="A6"/>
  <c r="B6" i="9"/>
  <c r="B7"/>
  <c r="C7"/>
  <c r="B8"/>
  <c r="B9"/>
  <c r="C9"/>
  <c r="B10"/>
  <c r="C10"/>
  <c r="B11"/>
  <c r="C11"/>
  <c r="B13"/>
  <c r="C13"/>
  <c r="B14"/>
  <c r="C14"/>
  <c r="A14"/>
  <c r="A13"/>
  <c r="A11"/>
  <c r="A10"/>
  <c r="A9"/>
  <c r="A8"/>
  <c r="A7"/>
  <c r="A6"/>
  <c r="B6" i="7" l="1"/>
  <c r="B7"/>
  <c r="C7"/>
  <c r="B8"/>
  <c r="B9"/>
  <c r="C9"/>
  <c r="B10"/>
  <c r="C10"/>
  <c r="B11"/>
  <c r="C11"/>
  <c r="B13"/>
  <c r="C13"/>
  <c r="B14"/>
  <c r="C14"/>
  <c r="B41" i="2" l="1"/>
  <c r="B13" i="21" s="1"/>
  <c r="A41" i="2"/>
  <c r="A13" i="21" s="1"/>
  <c r="C41" i="2"/>
  <c r="C13" i="21" s="1"/>
  <c r="F13" s="1"/>
  <c r="G13" l="1"/>
  <c r="F24"/>
  <c r="A12" i="16"/>
  <c r="A13" i="8"/>
  <c r="C13"/>
  <c r="F13" s="1"/>
  <c r="C12" i="16"/>
  <c r="F12" s="1"/>
  <c r="B13" i="8"/>
  <c r="B12" i="16"/>
  <c r="A12" i="9"/>
  <c r="C12"/>
  <c r="C12" i="7"/>
  <c r="B12" i="9"/>
  <c r="B12" i="7"/>
  <c r="G11" i="2"/>
  <c r="G6"/>
  <c r="I6"/>
  <c r="G12" s="1"/>
  <c r="H12" s="1"/>
  <c r="I12" s="1"/>
  <c r="G24" i="21" l="1"/>
  <c r="G12" i="16"/>
  <c r="F23"/>
  <c r="G8" i="2"/>
  <c r="H8" s="1"/>
  <c r="I8" s="1"/>
  <c r="G9"/>
  <c r="H9" s="1"/>
  <c r="I9" s="1"/>
  <c r="G10"/>
  <c r="H10" s="1"/>
  <c r="I10" s="1"/>
  <c r="A14" i="7"/>
  <c r="A13"/>
  <c r="A12"/>
  <c r="A11"/>
  <c r="A10"/>
  <c r="A9"/>
  <c r="A8"/>
  <c r="A7"/>
  <c r="A6"/>
  <c r="G23" i="16" l="1"/>
  <c r="H14" i="2"/>
  <c r="I14" s="1"/>
  <c r="C67" s="1"/>
  <c r="C21" i="13" s="1"/>
  <c r="F21" s="1"/>
  <c r="G14" i="2"/>
  <c r="B6" i="6"/>
  <c r="C6"/>
  <c r="B7"/>
  <c r="B8"/>
  <c r="C8"/>
  <c r="B9"/>
  <c r="B11"/>
  <c r="C11"/>
  <c r="B12"/>
  <c r="C12"/>
  <c r="B13"/>
  <c r="C13"/>
  <c r="B14"/>
  <c r="C14"/>
  <c r="B15"/>
  <c r="C15"/>
  <c r="B16"/>
  <c r="C16"/>
  <c r="A16"/>
  <c r="A15"/>
  <c r="A14"/>
  <c r="A13"/>
  <c r="A11"/>
  <c r="A12"/>
  <c r="A9"/>
  <c r="A8"/>
  <c r="A7"/>
  <c r="A6"/>
  <c r="E27" i="10"/>
  <c r="B27"/>
  <c r="A27"/>
  <c r="F16"/>
  <c r="G16" s="1"/>
  <c r="E16"/>
  <c r="F15"/>
  <c r="G15" s="1"/>
  <c r="E15"/>
  <c r="F14"/>
  <c r="G14" s="1"/>
  <c r="E14"/>
  <c r="F13"/>
  <c r="G13" s="1"/>
  <c r="E13"/>
  <c r="F12"/>
  <c r="G12" s="1"/>
  <c r="E12"/>
  <c r="F11"/>
  <c r="G11" s="1"/>
  <c r="E11"/>
  <c r="F10"/>
  <c r="G10" s="1"/>
  <c r="E10"/>
  <c r="F9"/>
  <c r="G9" s="1"/>
  <c r="E9"/>
  <c r="F8"/>
  <c r="G8" s="1"/>
  <c r="E8"/>
  <c r="F7"/>
  <c r="E7"/>
  <c r="C5"/>
  <c r="B5"/>
  <c r="A5"/>
  <c r="E24" i="9"/>
  <c r="B24"/>
  <c r="A24"/>
  <c r="F14"/>
  <c r="G14" s="1"/>
  <c r="E14"/>
  <c r="F13"/>
  <c r="G13" s="1"/>
  <c r="E13"/>
  <c r="F12"/>
  <c r="G12" s="1"/>
  <c r="E12"/>
  <c r="F11"/>
  <c r="G11" s="1"/>
  <c r="E11"/>
  <c r="F10"/>
  <c r="G10" s="1"/>
  <c r="E10"/>
  <c r="F9"/>
  <c r="G9" s="1"/>
  <c r="E9"/>
  <c r="E8"/>
  <c r="F7"/>
  <c r="G7" s="1"/>
  <c r="E7"/>
  <c r="F6"/>
  <c r="E6"/>
  <c r="C5"/>
  <c r="B5"/>
  <c r="A5"/>
  <c r="E25" i="8"/>
  <c r="B25"/>
  <c r="A25"/>
  <c r="F15"/>
  <c r="G15" s="1"/>
  <c r="E15"/>
  <c r="F14"/>
  <c r="G14" s="1"/>
  <c r="E14"/>
  <c r="G13"/>
  <c r="E13"/>
  <c r="G12"/>
  <c r="E12"/>
  <c r="F11"/>
  <c r="G11" s="1"/>
  <c r="E11"/>
  <c r="F10"/>
  <c r="G10" s="1"/>
  <c r="E10"/>
  <c r="F9"/>
  <c r="G9" s="1"/>
  <c r="E9"/>
  <c r="E8"/>
  <c r="F7"/>
  <c r="G7" s="1"/>
  <c r="E7"/>
  <c r="F6"/>
  <c r="E6"/>
  <c r="C5"/>
  <c r="B5"/>
  <c r="A5"/>
  <c r="G21" i="13" l="1"/>
  <c r="F22"/>
  <c r="C25" i="21"/>
  <c r="F25" s="1"/>
  <c r="F26" s="1"/>
  <c r="C26" i="12"/>
  <c r="F26" s="1"/>
  <c r="G25" i="21"/>
  <c r="C27" i="19"/>
  <c r="F27" s="1"/>
  <c r="F28" s="1"/>
  <c r="C26" i="20"/>
  <c r="F26" s="1"/>
  <c r="C26" i="18"/>
  <c r="F26" s="1"/>
  <c r="F26" i="10"/>
  <c r="G27" i="19"/>
  <c r="C24" i="16"/>
  <c r="F24" s="1"/>
  <c r="G24" s="1"/>
  <c r="G25" s="1"/>
  <c r="C27" i="11"/>
  <c r="F27" s="1"/>
  <c r="G7" i="10"/>
  <c r="G26" s="1"/>
  <c r="G6" i="8"/>
  <c r="C21" i="14"/>
  <c r="F21" s="1"/>
  <c r="C27" i="10"/>
  <c r="G6" i="9"/>
  <c r="C25" i="8"/>
  <c r="F25" s="1"/>
  <c r="G25" s="1"/>
  <c r="C24" i="9"/>
  <c r="F24" s="1"/>
  <c r="G24" s="1"/>
  <c r="E24" i="7"/>
  <c r="C24"/>
  <c r="F24" s="1"/>
  <c r="G24" s="1"/>
  <c r="B24"/>
  <c r="A24"/>
  <c r="F14"/>
  <c r="G14" s="1"/>
  <c r="E14"/>
  <c r="F13"/>
  <c r="G13" s="1"/>
  <c r="E13"/>
  <c r="F12"/>
  <c r="G12" s="1"/>
  <c r="E12"/>
  <c r="F11"/>
  <c r="G11" s="1"/>
  <c r="E11"/>
  <c r="F10"/>
  <c r="G10" s="1"/>
  <c r="E10"/>
  <c r="F9"/>
  <c r="G9" s="1"/>
  <c r="E9"/>
  <c r="E8"/>
  <c r="F7"/>
  <c r="G7" s="1"/>
  <c r="E7"/>
  <c r="E6"/>
  <c r="C5"/>
  <c r="B5"/>
  <c r="A5"/>
  <c r="E26" i="6"/>
  <c r="F8"/>
  <c r="G8" s="1"/>
  <c r="F11"/>
  <c r="G11" s="1"/>
  <c r="F12"/>
  <c r="G12" s="1"/>
  <c r="F13"/>
  <c r="G13" s="1"/>
  <c r="F14"/>
  <c r="G14" s="1"/>
  <c r="F15"/>
  <c r="G15" s="1"/>
  <c r="F16"/>
  <c r="G16" s="1"/>
  <c r="F6"/>
  <c r="B26"/>
  <c r="C26"/>
  <c r="F26" s="1"/>
  <c r="G26" s="1"/>
  <c r="A26"/>
  <c r="E7"/>
  <c r="E8"/>
  <c r="E9"/>
  <c r="E11"/>
  <c r="E12"/>
  <c r="E13"/>
  <c r="E14"/>
  <c r="E15"/>
  <c r="E16"/>
  <c r="E6"/>
  <c r="C5"/>
  <c r="B5"/>
  <c r="A5"/>
  <c r="G22" i="13" l="1"/>
  <c r="H21" s="1"/>
  <c r="G26" i="12"/>
  <c r="F27"/>
  <c r="G26" i="21"/>
  <c r="G26" i="20"/>
  <c r="F27"/>
  <c r="G26" i="18"/>
  <c r="F27"/>
  <c r="G28" i="19"/>
  <c r="F25" i="16"/>
  <c r="G27" i="11"/>
  <c r="F28"/>
  <c r="F27" i="10"/>
  <c r="G27" s="1"/>
  <c r="G28" s="1"/>
  <c r="H6" s="1"/>
  <c r="H23" i="16"/>
  <c r="H25"/>
  <c r="H19"/>
  <c r="H15"/>
  <c r="H20"/>
  <c r="H16"/>
  <c r="H13"/>
  <c r="H6"/>
  <c r="H17"/>
  <c r="H21"/>
  <c r="H7"/>
  <c r="H14"/>
  <c r="H18"/>
  <c r="H22"/>
  <c r="H8"/>
  <c r="H11"/>
  <c r="H10"/>
  <c r="H9"/>
  <c r="H12"/>
  <c r="H24"/>
  <c r="G21" i="14"/>
  <c r="F22"/>
  <c r="G6" i="6"/>
  <c r="E24" i="5"/>
  <c r="B24"/>
  <c r="C24"/>
  <c r="F24" s="1"/>
  <c r="G24" s="1"/>
  <c r="E7"/>
  <c r="E8"/>
  <c r="E9"/>
  <c r="E10"/>
  <c r="E11"/>
  <c r="E12"/>
  <c r="E13"/>
  <c r="E14"/>
  <c r="E6"/>
  <c r="A24"/>
  <c r="B6"/>
  <c r="B7"/>
  <c r="C7"/>
  <c r="F7" s="1"/>
  <c r="G7" s="1"/>
  <c r="B8"/>
  <c r="B9"/>
  <c r="C9"/>
  <c r="F9" s="1"/>
  <c r="G9" s="1"/>
  <c r="B10"/>
  <c r="C10"/>
  <c r="F10" s="1"/>
  <c r="G10" s="1"/>
  <c r="B11"/>
  <c r="C11"/>
  <c r="F11" s="1"/>
  <c r="G11" s="1"/>
  <c r="B12"/>
  <c r="C12"/>
  <c r="F12" s="1"/>
  <c r="G12" s="1"/>
  <c r="B13"/>
  <c r="C13"/>
  <c r="F13" s="1"/>
  <c r="G13" s="1"/>
  <c r="B14"/>
  <c r="C14"/>
  <c r="F14" s="1"/>
  <c r="G14" s="1"/>
  <c r="A14"/>
  <c r="A13"/>
  <c r="A12"/>
  <c r="A11"/>
  <c r="A10"/>
  <c r="A9"/>
  <c r="A8"/>
  <c r="A7"/>
  <c r="A6"/>
  <c r="C5"/>
  <c r="B5"/>
  <c r="A5"/>
  <c r="E28" i="4"/>
  <c r="E7"/>
  <c r="E8"/>
  <c r="E9"/>
  <c r="E10"/>
  <c r="E11"/>
  <c r="E14"/>
  <c r="E15"/>
  <c r="E16"/>
  <c r="E17"/>
  <c r="E18"/>
  <c r="E6"/>
  <c r="B28"/>
  <c r="C28"/>
  <c r="F28" s="1"/>
  <c r="G28" s="1"/>
  <c r="B6"/>
  <c r="C6"/>
  <c r="F6" s="1"/>
  <c r="B7"/>
  <c r="B8"/>
  <c r="C8"/>
  <c r="F8" s="1"/>
  <c r="G8" s="1"/>
  <c r="B9"/>
  <c r="C9"/>
  <c r="F9" s="1"/>
  <c r="G9" s="1"/>
  <c r="B10"/>
  <c r="C10"/>
  <c r="F10" s="1"/>
  <c r="G10" s="1"/>
  <c r="B11"/>
  <c r="B14"/>
  <c r="C14"/>
  <c r="F14" s="1"/>
  <c r="G14" s="1"/>
  <c r="B15"/>
  <c r="C15"/>
  <c r="F15" s="1"/>
  <c r="G15" s="1"/>
  <c r="B16"/>
  <c r="C16"/>
  <c r="F16" s="1"/>
  <c r="G16" s="1"/>
  <c r="B17"/>
  <c r="C17"/>
  <c r="F17" s="1"/>
  <c r="G17" s="1"/>
  <c r="B18"/>
  <c r="C18"/>
  <c r="F18" s="1"/>
  <c r="G18" s="1"/>
  <c r="A28"/>
  <c r="A18"/>
  <c r="A17"/>
  <c r="A16"/>
  <c r="A15"/>
  <c r="A14"/>
  <c r="A11"/>
  <c r="A10"/>
  <c r="A9"/>
  <c r="A8"/>
  <c r="A7"/>
  <c r="A6"/>
  <c r="C5"/>
  <c r="B5"/>
  <c r="A5"/>
  <c r="H20" i="13" l="1"/>
  <c r="H22"/>
  <c r="H6"/>
  <c r="H15"/>
  <c r="H18"/>
  <c r="H10"/>
  <c r="H17"/>
  <c r="H9"/>
  <c r="H12"/>
  <c r="H7"/>
  <c r="H19"/>
  <c r="H11"/>
  <c r="H14"/>
  <c r="H13"/>
  <c r="H16"/>
  <c r="H8"/>
  <c r="G27" i="12"/>
  <c r="H26" s="1"/>
  <c r="H26" i="21"/>
  <c r="H18"/>
  <c r="H22"/>
  <c r="H7"/>
  <c r="H16"/>
  <c r="H14"/>
  <c r="H19"/>
  <c r="H23"/>
  <c r="H11"/>
  <c r="H21"/>
  <c r="H6"/>
  <c r="H10"/>
  <c r="H15"/>
  <c r="H20"/>
  <c r="H12"/>
  <c r="H17"/>
  <c r="H8"/>
  <c r="H9"/>
  <c r="H13"/>
  <c r="H24"/>
  <c r="H25"/>
  <c r="G27" i="18"/>
  <c r="H26" s="1"/>
  <c r="G27" i="20"/>
  <c r="H26" s="1"/>
  <c r="H26" i="19"/>
  <c r="H8"/>
  <c r="H20"/>
  <c r="H24"/>
  <c r="H7"/>
  <c r="H15"/>
  <c r="H19"/>
  <c r="H23"/>
  <c r="H12"/>
  <c r="H6"/>
  <c r="H10"/>
  <c r="H28"/>
  <c r="H14"/>
  <c r="H18"/>
  <c r="H22"/>
  <c r="H9"/>
  <c r="H17"/>
  <c r="H21"/>
  <c r="H25"/>
  <c r="H13"/>
  <c r="H11"/>
  <c r="H16"/>
  <c r="H27"/>
  <c r="G28" i="11"/>
  <c r="H6" s="1"/>
  <c r="F28" i="10"/>
  <c r="H28"/>
  <c r="H17"/>
  <c r="H15"/>
  <c r="H14"/>
  <c r="H9"/>
  <c r="H8"/>
  <c r="H24"/>
  <c r="H7"/>
  <c r="H16"/>
  <c r="H25"/>
  <c r="H23"/>
  <c r="H22"/>
  <c r="H12"/>
  <c r="H26"/>
  <c r="H13"/>
  <c r="H10"/>
  <c r="H27"/>
  <c r="H11"/>
  <c r="H21"/>
  <c r="H20"/>
  <c r="H19"/>
  <c r="H18"/>
  <c r="G22" i="14"/>
  <c r="H21" s="1"/>
  <c r="G6" i="4"/>
  <c r="C7" i="3"/>
  <c r="E7"/>
  <c r="B7"/>
  <c r="A7"/>
  <c r="E37"/>
  <c r="C37"/>
  <c r="F37" s="1"/>
  <c r="G37" s="1"/>
  <c r="E6"/>
  <c r="C8" i="8"/>
  <c r="F8" s="1"/>
  <c r="F24" s="1"/>
  <c r="F7" i="6"/>
  <c r="C6" i="5"/>
  <c r="F6" s="1"/>
  <c r="C7" i="4"/>
  <c r="F7" s="1"/>
  <c r="G7" s="1"/>
  <c r="F6" i="7"/>
  <c r="C8" i="3"/>
  <c r="C9"/>
  <c r="C10"/>
  <c r="C11"/>
  <c r="C12"/>
  <c r="C13"/>
  <c r="C14"/>
  <c r="C15"/>
  <c r="C16"/>
  <c r="C17"/>
  <c r="C18"/>
  <c r="C19"/>
  <c r="C20"/>
  <c r="C21"/>
  <c r="C23"/>
  <c r="C24"/>
  <c r="C25"/>
  <c r="C26"/>
  <c r="C27"/>
  <c r="C6"/>
  <c r="C5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 s="1"/>
  <c r="E27"/>
  <c r="G27" s="1"/>
  <c r="B37"/>
  <c r="A37"/>
  <c r="B8"/>
  <c r="B9"/>
  <c r="B10"/>
  <c r="B11"/>
  <c r="B12"/>
  <c r="B13"/>
  <c r="B14"/>
  <c r="B15"/>
  <c r="B16"/>
  <c r="B17"/>
  <c r="B18"/>
  <c r="B19"/>
  <c r="B20"/>
  <c r="B21"/>
  <c r="B23"/>
  <c r="B24"/>
  <c r="B25"/>
  <c r="B26"/>
  <c r="B27"/>
  <c r="A27"/>
  <c r="A26"/>
  <c r="A25"/>
  <c r="A24"/>
  <c r="A23"/>
  <c r="A21"/>
  <c r="A20"/>
  <c r="A19"/>
  <c r="A18"/>
  <c r="A17"/>
  <c r="A16"/>
  <c r="A15"/>
  <c r="A14"/>
  <c r="A13"/>
  <c r="A12"/>
  <c r="A11"/>
  <c r="A10"/>
  <c r="A9"/>
  <c r="A8"/>
  <c r="B6"/>
  <c r="A6"/>
  <c r="B5"/>
  <c r="A5"/>
  <c r="H27" i="12" l="1"/>
  <c r="H16"/>
  <c r="H23"/>
  <c r="H15"/>
  <c r="H24"/>
  <c r="H18"/>
  <c r="H17"/>
  <c r="H11"/>
  <c r="H9"/>
  <c r="H10"/>
  <c r="H6"/>
  <c r="H8"/>
  <c r="H20"/>
  <c r="H7"/>
  <c r="H19"/>
  <c r="H14"/>
  <c r="H22"/>
  <c r="H13"/>
  <c r="H21"/>
  <c r="H12"/>
  <c r="H25"/>
  <c r="H25" i="20"/>
  <c r="H16"/>
  <c r="H23"/>
  <c r="H9"/>
  <c r="H11"/>
  <c r="H8"/>
  <c r="H7"/>
  <c r="H14"/>
  <c r="H13"/>
  <c r="H6"/>
  <c r="H27"/>
  <c r="H24"/>
  <c r="H19"/>
  <c r="H17"/>
  <c r="H12"/>
  <c r="H10"/>
  <c r="H20"/>
  <c r="H18"/>
  <c r="H22"/>
  <c r="H21"/>
  <c r="H15"/>
  <c r="H25" i="18"/>
  <c r="H27"/>
  <c r="H17"/>
  <c r="H14"/>
  <c r="H22"/>
  <c r="H12"/>
  <c r="H20"/>
  <c r="H9"/>
  <c r="H23"/>
  <c r="H16"/>
  <c r="H15"/>
  <c r="H13"/>
  <c r="H21"/>
  <c r="H10"/>
  <c r="H18"/>
  <c r="H6"/>
  <c r="H11"/>
  <c r="H8"/>
  <c r="H19"/>
  <c r="H7"/>
  <c r="H24"/>
  <c r="H28" i="11"/>
  <c r="H14"/>
  <c r="H18"/>
  <c r="H22"/>
  <c r="H15"/>
  <c r="H19"/>
  <c r="H23"/>
  <c r="H11"/>
  <c r="H13"/>
  <c r="H8"/>
  <c r="H20"/>
  <c r="H24"/>
  <c r="H9"/>
  <c r="H17"/>
  <c r="H21"/>
  <c r="H25"/>
  <c r="H7"/>
  <c r="H12"/>
  <c r="H16"/>
  <c r="H10"/>
  <c r="H26"/>
  <c r="H27"/>
  <c r="G25" i="3"/>
  <c r="H10" i="14"/>
  <c r="H14"/>
  <c r="H18"/>
  <c r="H11"/>
  <c r="H17"/>
  <c r="H7"/>
  <c r="H6"/>
  <c r="H22"/>
  <c r="H8"/>
  <c r="H12"/>
  <c r="H16"/>
  <c r="H9"/>
  <c r="H13"/>
  <c r="H19"/>
  <c r="H15"/>
  <c r="H20"/>
  <c r="G8" i="8"/>
  <c r="G24" s="1"/>
  <c r="F26"/>
  <c r="C9" i="6"/>
  <c r="F9" s="1"/>
  <c r="G9" s="1"/>
  <c r="C8" i="9"/>
  <c r="F8" s="1"/>
  <c r="F23" s="1"/>
  <c r="C8" i="7"/>
  <c r="F8" s="1"/>
  <c r="G8" s="1"/>
  <c r="G6"/>
  <c r="G7" i="6"/>
  <c r="G6" i="5"/>
  <c r="C11" i="4"/>
  <c r="F11" s="1"/>
  <c r="F27" s="1"/>
  <c r="C8" i="5"/>
  <c r="F8" s="1"/>
  <c r="G8" s="1"/>
  <c r="F7" i="3"/>
  <c r="G7"/>
  <c r="F27"/>
  <c r="F25"/>
  <c r="F26"/>
  <c r="F9"/>
  <c r="G9"/>
  <c r="G20"/>
  <c r="F20"/>
  <c r="F8"/>
  <c r="G8"/>
  <c r="G17"/>
  <c r="F17"/>
  <c r="F19"/>
  <c r="G19"/>
  <c r="G15"/>
  <c r="F15"/>
  <c r="F22"/>
  <c r="G22"/>
  <c r="F24"/>
  <c r="G24"/>
  <c r="F23"/>
  <c r="G23"/>
  <c r="G21"/>
  <c r="F21"/>
  <c r="F10"/>
  <c r="G10"/>
  <c r="G13"/>
  <c r="F13"/>
  <c r="F11"/>
  <c r="G11"/>
  <c r="F12"/>
  <c r="G12"/>
  <c r="F18"/>
  <c r="G18"/>
  <c r="F6"/>
  <c r="G6"/>
  <c r="F14"/>
  <c r="G14"/>
  <c r="F16"/>
  <c r="G16"/>
  <c r="G25" i="6" l="1"/>
  <c r="G27" s="1"/>
  <c r="H10" s="1"/>
  <c r="G36" i="3"/>
  <c r="F23" i="7"/>
  <c r="F25" s="1"/>
  <c r="F36" i="3"/>
  <c r="F38" s="1"/>
  <c r="G23" i="5"/>
  <c r="G23" i="7"/>
  <c r="G25" s="1"/>
  <c r="H22" s="1"/>
  <c r="F25" i="6"/>
  <c r="F27" s="1"/>
  <c r="F23" i="5"/>
  <c r="F25" s="1"/>
  <c r="G8" i="9"/>
  <c r="G23" s="1"/>
  <c r="F25"/>
  <c r="G11" i="4"/>
  <c r="G27" s="1"/>
  <c r="F29"/>
  <c r="H18" i="7" l="1"/>
  <c r="H21"/>
  <c r="H17"/>
  <c r="H20"/>
  <c r="H16"/>
  <c r="H19"/>
  <c r="H24" i="6"/>
  <c r="H20"/>
  <c r="H23"/>
  <c r="H19"/>
  <c r="H22"/>
  <c r="H18"/>
  <c r="H21"/>
  <c r="H15" i="7"/>
  <c r="H23"/>
  <c r="H6"/>
  <c r="G29" i="4"/>
  <c r="H13" i="6"/>
  <c r="H17"/>
  <c r="H11" i="7"/>
  <c r="H7"/>
  <c r="H13"/>
  <c r="H9"/>
  <c r="H14"/>
  <c r="H24"/>
  <c r="H12"/>
  <c r="H10"/>
  <c r="H8"/>
  <c r="H25"/>
  <c r="H7" i="6"/>
  <c r="H8"/>
  <c r="H9"/>
  <c r="G26" i="8"/>
  <c r="H14" i="6"/>
  <c r="H11"/>
  <c r="H25"/>
  <c r="H27"/>
  <c r="H15"/>
  <c r="H12"/>
  <c r="H26"/>
  <c r="H16"/>
  <c r="H6"/>
  <c r="G25" i="5"/>
  <c r="H22" s="1"/>
  <c r="G38" i="3"/>
  <c r="H35" l="1"/>
  <c r="H16" i="8"/>
  <c r="H21"/>
  <c r="H17"/>
  <c r="H20"/>
  <c r="H23"/>
  <c r="H19"/>
  <c r="H22"/>
  <c r="H18"/>
  <c r="H20" i="5"/>
  <c r="H18"/>
  <c r="H16"/>
  <c r="H21"/>
  <c r="H19"/>
  <c r="H17"/>
  <c r="H15"/>
  <c r="H23" i="4"/>
  <c r="H19"/>
  <c r="H24"/>
  <c r="H20"/>
  <c r="H25"/>
  <c r="H21"/>
  <c r="H26"/>
  <c r="H22"/>
  <c r="H34" i="3"/>
  <c r="H33"/>
  <c r="H30"/>
  <c r="H31"/>
  <c r="H32"/>
  <c r="H28"/>
  <c r="H29"/>
  <c r="H9" i="4"/>
  <c r="H7"/>
  <c r="H16"/>
  <c r="H11"/>
  <c r="H10"/>
  <c r="H28"/>
  <c r="H13"/>
  <c r="H14"/>
  <c r="H8"/>
  <c r="H15"/>
  <c r="H6"/>
  <c r="H12"/>
  <c r="H29"/>
  <c r="H17"/>
  <c r="H18"/>
  <c r="H27"/>
  <c r="H23" i="5"/>
  <c r="H26" i="8"/>
  <c r="H14"/>
  <c r="H25"/>
  <c r="H6"/>
  <c r="H11"/>
  <c r="H12"/>
  <c r="H9"/>
  <c r="H13"/>
  <c r="H10"/>
  <c r="H15"/>
  <c r="H7"/>
  <c r="H8"/>
  <c r="H24"/>
  <c r="G25" i="9"/>
  <c r="H25" i="5"/>
  <c r="H14"/>
  <c r="H12"/>
  <c r="H10"/>
  <c r="H24"/>
  <c r="H13"/>
  <c r="H11"/>
  <c r="H9"/>
  <c r="H7"/>
  <c r="H6"/>
  <c r="H8"/>
  <c r="H38" i="3"/>
  <c r="H25"/>
  <c r="H26"/>
  <c r="H27"/>
  <c r="H14"/>
  <c r="H18"/>
  <c r="H11"/>
  <c r="H23"/>
  <c r="H22"/>
  <c r="H8"/>
  <c r="H13"/>
  <c r="H15"/>
  <c r="H20"/>
  <c r="H16"/>
  <c r="H6"/>
  <c r="H12"/>
  <c r="H10"/>
  <c r="H24"/>
  <c r="H19"/>
  <c r="H9"/>
  <c r="H21"/>
  <c r="H17"/>
  <c r="H7"/>
  <c r="H36"/>
  <c r="H15" i="9" l="1"/>
  <c r="H21"/>
  <c r="H17"/>
  <c r="H18"/>
  <c r="H20"/>
  <c r="H19"/>
  <c r="H22"/>
  <c r="H16"/>
  <c r="H25"/>
  <c r="H24"/>
  <c r="H10"/>
  <c r="H13"/>
  <c r="H7"/>
  <c r="H12"/>
  <c r="H9"/>
  <c r="H14"/>
  <c r="H11"/>
  <c r="H6"/>
  <c r="H8"/>
  <c r="H23"/>
</calcChain>
</file>

<file path=xl/comments1.xml><?xml version="1.0" encoding="utf-8"?>
<comments xmlns="http://schemas.openxmlformats.org/spreadsheetml/2006/main">
  <authors>
    <author>HOME</author>
  </authors>
  <commentList>
    <comment ref="H6" authorId="0">
      <text>
        <r>
          <rPr>
            <sz val="9"/>
            <color indexed="81"/>
            <rFont val="Tahoma"/>
            <family val="2"/>
          </rPr>
          <t xml:space="preserve">AUMENTOS: DICIEMBRE 2014 15%, FEBRERO 2015 15%, MAYO 2015 20%, JULIO 2015 10% MARZO 2016 20%, MAYO 2016 30%
</t>
        </r>
      </text>
    </comment>
  </commentList>
</comments>
</file>

<file path=xl/comments2.xml><?xml version="1.0" encoding="utf-8"?>
<comments xmlns="http://schemas.openxmlformats.org/spreadsheetml/2006/main">
  <authors>
    <author>Oficina</author>
    <author>CARLOS LEON T</author>
  </authors>
  <commentList>
    <comment ref="D20" authorId="0">
      <text>
        <r>
          <rPr>
            <sz val="9"/>
            <color indexed="81"/>
            <rFont val="Tahoma"/>
            <family val="2"/>
          </rPr>
          <t>Tres tazas de vinagre por cada kg de vegetales
el litro sumado es para la limpieza de los vegerales</t>
        </r>
      </text>
    </comment>
    <comment ref="D28" authorId="1">
      <text>
        <r>
          <rPr>
            <b/>
            <sz val="9"/>
            <color indexed="81"/>
            <rFont val="Tahoma"/>
            <family val="2"/>
          </rPr>
          <t>CARLOS LEON T:</t>
        </r>
        <r>
          <rPr>
            <sz val="9"/>
            <color indexed="81"/>
            <rFont val="Tahoma"/>
            <family val="2"/>
          </rPr>
          <t xml:space="preserve">
Un par por trabajadora y supongo que cada par dura 10 procesos</t>
        </r>
      </text>
    </comment>
  </commentList>
</comments>
</file>

<file path=xl/comments3.xml><?xml version="1.0" encoding="utf-8"?>
<comments xmlns="http://schemas.openxmlformats.org/spreadsheetml/2006/main">
  <authors>
    <author>CARLOS LEON T</author>
  </authors>
  <commentList>
    <comment ref="D16" authorId="0">
      <text>
        <r>
          <rPr>
            <b/>
            <sz val="9"/>
            <color indexed="81"/>
            <rFont val="Tahoma"/>
            <family val="2"/>
          </rPr>
          <t>CARLOS LEON T:</t>
        </r>
        <r>
          <rPr>
            <sz val="9"/>
            <color indexed="81"/>
            <rFont val="Tahoma"/>
            <family val="2"/>
          </rPr>
          <t xml:space="preserve">
Un par por trabajadora y supongo que cada par dura 10 procesos</t>
        </r>
      </text>
    </comment>
  </commentList>
</comments>
</file>

<file path=xl/comments4.xml><?xml version="1.0" encoding="utf-8"?>
<comments xmlns="http://schemas.openxmlformats.org/spreadsheetml/2006/main">
  <authors>
    <author>CARLOS LEON T</author>
  </authors>
  <commentList>
    <comment ref="D17" authorId="0">
      <text>
        <r>
          <rPr>
            <b/>
            <sz val="9"/>
            <color indexed="81"/>
            <rFont val="Tahoma"/>
            <family val="2"/>
          </rPr>
          <t>CARLOS LEON T:</t>
        </r>
        <r>
          <rPr>
            <sz val="9"/>
            <color indexed="81"/>
            <rFont val="Tahoma"/>
            <family val="2"/>
          </rPr>
          <t xml:space="preserve">
Un par por trabajadora y supongo que cada par dura 10 procesos</t>
        </r>
      </text>
    </comment>
  </commentList>
</comments>
</file>

<file path=xl/comments5.xml><?xml version="1.0" encoding="utf-8"?>
<comments xmlns="http://schemas.openxmlformats.org/spreadsheetml/2006/main">
  <authors>
    <author>Oficina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Oficina:</t>
        </r>
        <r>
          <rPr>
            <sz val="9"/>
            <color indexed="81"/>
            <rFont val="Tahoma"/>
            <family val="2"/>
          </rPr>
          <t xml:space="preserve">
En promedio 76% del peso bruto es el peso neto luego de pelar. Se coloca 30% de azúcar, por lo tanto 0.76 x 0.30 = 0.228
</t>
        </r>
      </text>
    </comment>
  </commentList>
</comments>
</file>

<file path=xl/comments6.xml><?xml version="1.0" encoding="utf-8"?>
<comments xmlns="http://schemas.openxmlformats.org/spreadsheetml/2006/main">
  <authors>
    <author>Oficina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Oficina:</t>
        </r>
        <r>
          <rPr>
            <sz val="9"/>
            <color indexed="81"/>
            <rFont val="Tahoma"/>
            <family val="2"/>
          </rPr>
          <t xml:space="preserve">
Pareciera que el peso limpio y sin semillas es más o menos 75% del peso bruto. Se colocan 700 gr por cada kilo limpio</t>
        </r>
      </text>
    </comment>
  </commentList>
</comments>
</file>

<file path=xl/sharedStrings.xml><?xml version="1.0" encoding="utf-8"?>
<sst xmlns="http://schemas.openxmlformats.org/spreadsheetml/2006/main" count="459" uniqueCount="178">
  <si>
    <t>UNIDAD</t>
  </si>
  <si>
    <t>ACEITUNA</t>
  </si>
  <si>
    <t>AJOPORRO</t>
  </si>
  <si>
    <t xml:space="preserve">ATÚN </t>
  </si>
  <si>
    <t>AZÚCAR</t>
  </si>
  <si>
    <t>CEBOLLA</t>
  </si>
  <si>
    <t>CEBOLLÍN</t>
  </si>
  <si>
    <t>COLIFLOR</t>
  </si>
  <si>
    <t>DURAZNO</t>
  </si>
  <si>
    <t>GELATINA</t>
  </si>
  <si>
    <t>LECHOSA</t>
  </si>
  <si>
    <t>MAYONESA PREPARADA</t>
  </si>
  <si>
    <t>PARCHITA</t>
  </si>
  <si>
    <t>PIMENTÓN</t>
  </si>
  <si>
    <t>PIÑA</t>
  </si>
  <si>
    <t xml:space="preserve">SAL </t>
  </si>
  <si>
    <t>SALSA DE TOMATE</t>
  </si>
  <si>
    <t>SALSA PICANTE</t>
  </si>
  <si>
    <t>TRUCHA AHUMADA</t>
  </si>
  <si>
    <t>VAINITA</t>
  </si>
  <si>
    <t>VINAGRE</t>
  </si>
  <si>
    <t>ZANAHORIA</t>
  </si>
  <si>
    <t>KILO</t>
  </si>
  <si>
    <t>CAJA 33GR</t>
  </si>
  <si>
    <t>LITRO</t>
  </si>
  <si>
    <t>AGUA</t>
  </si>
  <si>
    <t>UNITARIO E</t>
  </si>
  <si>
    <t>ELECTRICIDAD</t>
  </si>
  <si>
    <t>FRASCO  500GR</t>
  </si>
  <si>
    <t>FRASCO 230GR</t>
  </si>
  <si>
    <t>COSTO</t>
  </si>
  <si>
    <t>MANO DE OBRA</t>
  </si>
  <si>
    <t xml:space="preserve">JORNAL </t>
  </si>
  <si>
    <t>KWH</t>
  </si>
  <si>
    <t>ANTIPASTO DE ATÚN DE 500GR</t>
  </si>
  <si>
    <t>TOTAL</t>
  </si>
  <si>
    <t>COSTO TOT.</t>
  </si>
  <si>
    <t>PRODUCCIÓN :</t>
  </si>
  <si>
    <t>TOTAL MATERIA PRIMA E INSUMOS</t>
  </si>
  <si>
    <t>TOTAL COSTOS DIRECTOS</t>
  </si>
  <si>
    <t>ACEITE</t>
  </si>
  <si>
    <t>FECHA DE FABRICACIÓN:</t>
  </si>
  <si>
    <t>LOTE DE PRODUCCIÓN:</t>
  </si>
  <si>
    <t>SOBRE EL TOTAL</t>
  </si>
  <si>
    <t>ETIQUETA FRASCO DE 500GR</t>
  </si>
  <si>
    <t>ETIQUETA FRASCO DE 230GR</t>
  </si>
  <si>
    <t>ETIQUETA FRASCO DE 200GR</t>
  </si>
  <si>
    <t>MOUSSE DE TRUCHA AHUMADA DE 230GR</t>
  </si>
  <si>
    <t>CASCOS DE PARCHITA DE 500GR</t>
  </si>
  <si>
    <t>FRASCO 200GR</t>
  </si>
  <si>
    <t>TOTAL MATERIAPRIMA E INSUMOS</t>
  </si>
  <si>
    <t>DULCE DE LECHOSA CON PIÑA 500GR</t>
  </si>
  <si>
    <t>PRODUCTO</t>
  </si>
  <si>
    <t>DURAZNOS EN ALMIBAR DE 500GR</t>
  </si>
  <si>
    <t>CASCOS DE GUAYABA DE 500GR</t>
  </si>
  <si>
    <t>CÁLCULO DEL SALARIO INTEGRAL DE LA MANO DE OBRA DIRECTA</t>
  </si>
  <si>
    <t>ANUAL</t>
  </si>
  <si>
    <t>MENSUAL</t>
  </si>
  <si>
    <t>DIARIO</t>
  </si>
  <si>
    <t>SALARIO MENSUAL BASE</t>
  </si>
  <si>
    <t>BONO VACACIONAL (15 DIAS AL AÑO)</t>
  </si>
  <si>
    <t>VACACIONES (15 DIAS EL PRIMER AÑO, TOMAMOS 21)</t>
  </si>
  <si>
    <t>BONO DE FIN DE AÑO (30 DÍAS AL AÑO)</t>
  </si>
  <si>
    <t>PRESTACIONES (5 DIAS DE SALARIO AL AÑO)</t>
  </si>
  <si>
    <t>TOTAL SALARIO INTEGRAL</t>
  </si>
  <si>
    <t>El salario diario integral se calcula sobre 20 días/mes ya que se trabajan 5 días a la semana</t>
  </si>
  <si>
    <t xml:space="preserve">En las vacaciones tomamos 21 días pues son 15 días para el primer año, sumandole un día cada año consecutivo </t>
  </si>
  <si>
    <t>del trabajador y como el proyecto está evaluado a 10 años hacemos un prorrateo.</t>
  </si>
  <si>
    <t>Aunque las prestaciones son calculadas a valor actual ellas son retroactivas ante un aumento salarial.</t>
  </si>
  <si>
    <t>COSTO DE LA BOMBONA</t>
  </si>
  <si>
    <t xml:space="preserve">Bs. </t>
  </si>
  <si>
    <t>GUAYABA</t>
  </si>
  <si>
    <t>TAPA DE 500GR ROSCA</t>
  </si>
  <si>
    <t>TAPA DE 230 TWIST</t>
  </si>
  <si>
    <t>TAPA DE 500GR TWIST</t>
  </si>
  <si>
    <t>TAPA DE 200GR TWIST</t>
  </si>
  <si>
    <t>TAPA DE 200GR ROSCA</t>
  </si>
  <si>
    <t>GRAMO</t>
  </si>
  <si>
    <t>TRUCHAS EN UNIDADES</t>
  </si>
  <si>
    <t>TRUCHAS EN KILOGRAMOS</t>
  </si>
  <si>
    <t>COSTO UNIT.</t>
  </si>
  <si>
    <t>CANTIDAD</t>
  </si>
  <si>
    <t>COSTO POR KILO DE LA TRUCHA</t>
  </si>
  <si>
    <t>810131</t>
  </si>
  <si>
    <t>CC</t>
  </si>
  <si>
    <t>REQUERIMIENTOS</t>
  </si>
  <si>
    <t>COSTOS</t>
  </si>
  <si>
    <t>SOLO SE DEBEN RELLENAR ESTAS CASILLAS</t>
  </si>
  <si>
    <t xml:space="preserve">COSTOS </t>
  </si>
  <si>
    <t>UNITARIO</t>
  </si>
  <si>
    <t xml:space="preserve">INFORMACIÓN SEGÚN PARÁMETROS </t>
  </si>
  <si>
    <t>INFORMACIÓN SEGÚN PARÁMETROS</t>
  </si>
  <si>
    <t xml:space="preserve"> </t>
  </si>
  <si>
    <t>ACTUALIZADO SEGÚN COMPRAS DEL:</t>
  </si>
  <si>
    <t>ALCOHOL</t>
  </si>
  <si>
    <t>OBSERVACIÓN</t>
  </si>
  <si>
    <t xml:space="preserve">FÓSFOROS </t>
  </si>
  <si>
    <t>C.GRDE</t>
  </si>
  <si>
    <t>DETERGENTE PARA PISOS</t>
  </si>
  <si>
    <t>DETERGENTE PARA VAJILLAS</t>
  </si>
  <si>
    <t>BOLSA DE BASURA</t>
  </si>
  <si>
    <t>ESPONJA DE LIMPIEZA</t>
  </si>
  <si>
    <t>COLETO</t>
  </si>
  <si>
    <t>IMPLEMENTOS VARIOS</t>
  </si>
  <si>
    <t>INSUMOS VARIOS</t>
  </si>
  <si>
    <t>N/A</t>
  </si>
  <si>
    <t>VALOR DE LA UNIDAD TRIBUTARIA</t>
  </si>
  <si>
    <t>SOLO SE DEBEN RELLENAR LAS CASILLAS VERDES</t>
  </si>
  <si>
    <t>CLAVITO</t>
  </si>
  <si>
    <t>FRASCO 500GR TARRO</t>
  </si>
  <si>
    <t>MATERIA PRIMA E INSUMOS GAVCA</t>
  </si>
  <si>
    <t>MERMELADA DE DURAZNO 200GR</t>
  </si>
  <si>
    <t>708041</t>
  </si>
  <si>
    <t>MERMELADA DE GUAYABA 200GR</t>
  </si>
  <si>
    <t>ACTUALIZADO AL</t>
  </si>
  <si>
    <t>PAR</t>
  </si>
  <si>
    <t>GUANTES DE LATEX RE-USABLES</t>
  </si>
  <si>
    <t>Precio estimado provisional</t>
  </si>
  <si>
    <t>ALQUILER PLANTA MOCOTIES</t>
  </si>
  <si>
    <t>ALQUILER DEPÓSITO Y OFICINA</t>
  </si>
  <si>
    <t>SUELDOS  ADMINISTRATIVOS</t>
  </si>
  <si>
    <t>HONORARIOS CONTADOR</t>
  </si>
  <si>
    <t>HONORARIOS ABOGADOS (ACTAS)</t>
  </si>
  <si>
    <t>SISTEMA DE ALARMA (SISTEL)</t>
  </si>
  <si>
    <t>DETERMINACIÓN DEL ESTANDAR DE COSTOS FIJO POR UNIDAD DE PRODUCTO</t>
  </si>
  <si>
    <t>CONCEPTO</t>
  </si>
  <si>
    <t>MONTO MES</t>
  </si>
  <si>
    <t>ESTANDAR POR FRASCO</t>
  </si>
  <si>
    <t>SUELDO MARINO ROJAS</t>
  </si>
  <si>
    <t>PRODUCCIÓN ÚLTIMO MES ACTUALIZADO EN FECHA</t>
  </si>
  <si>
    <t xml:space="preserve">NÚMERO DE FRASCOS PRODUCIDOS </t>
  </si>
  <si>
    <t xml:space="preserve">TOTAL </t>
  </si>
  <si>
    <t>incluye frasco y tapa</t>
  </si>
  <si>
    <t>FRASCO 4KG</t>
  </si>
  <si>
    <t>FRASCO 1KG</t>
  </si>
  <si>
    <t>MERMELADA DE GUAYABA 4KG</t>
  </si>
  <si>
    <r>
      <t xml:space="preserve">GUAYABA EN PULPA </t>
    </r>
    <r>
      <rPr>
        <sz val="8"/>
        <color theme="1"/>
        <rFont val="Calibri"/>
        <family val="2"/>
        <scheme val="minor"/>
      </rPr>
      <t>(SUBPRODUCTO DE LOS CASCOS)</t>
    </r>
  </si>
  <si>
    <t>ETIQUETA FRASCO DE 4KG</t>
  </si>
  <si>
    <t>MERMELADA DE GUAYABA KG</t>
  </si>
  <si>
    <t>ETIQUETA FRASCO DE 1KG</t>
  </si>
  <si>
    <t>PRESINTO TAPA DE 4KG</t>
  </si>
  <si>
    <t>PRESINTO TAPA DE 1KG</t>
  </si>
  <si>
    <t>PRESINTO TAPA DE 500GR</t>
  </si>
  <si>
    <t>PRESINTO TAPA DE 230GR</t>
  </si>
  <si>
    <t>PRESINTO TAPA DE 200GR</t>
  </si>
  <si>
    <t>812051</t>
  </si>
  <si>
    <t>Tomamos el precio de la de 150LT</t>
  </si>
  <si>
    <t>COLORANTE ROJO</t>
  </si>
  <si>
    <t>MERMELADA MORA 200GR</t>
  </si>
  <si>
    <t>MORA</t>
  </si>
  <si>
    <t>CÉLERI (APIO ESPAÑA)</t>
  </si>
  <si>
    <t>MERMELADA PIÑA 200GR</t>
  </si>
  <si>
    <t>ESTANDAR DEL COSTO DE GAS POR UN 1%</t>
  </si>
  <si>
    <t>PORCENTAJE ÚTIL DE BOMBONA LLENA</t>
  </si>
  <si>
    <t>%</t>
  </si>
  <si>
    <t>GAS (COSTO 1% DE CONSUMO)</t>
  </si>
  <si>
    <t>1%</t>
  </si>
  <si>
    <t>709051</t>
  </si>
  <si>
    <t>DULCE DE LECHOSA 500GR</t>
  </si>
  <si>
    <t>FRESA</t>
  </si>
  <si>
    <t>MERMELADA FRESA 200GR</t>
  </si>
  <si>
    <t>929051</t>
  </si>
  <si>
    <t>MERMELADA DE PIMENTÓN DE 200GR</t>
  </si>
  <si>
    <t>121061</t>
  </si>
  <si>
    <t>502061</t>
  </si>
  <si>
    <t>403061</t>
  </si>
  <si>
    <t>504061</t>
  </si>
  <si>
    <r>
      <t>CESTA TIKET (</t>
    </r>
    <r>
      <rPr>
        <sz val="8"/>
        <color theme="1"/>
        <rFont val="Calibri"/>
        <family val="2"/>
        <scheme val="minor"/>
      </rPr>
      <t>3,5 UNIDAD TRIBUTARIA POR 30 DIAS)</t>
    </r>
  </si>
  <si>
    <t>314061</t>
  </si>
  <si>
    <t>314161</t>
  </si>
  <si>
    <t>514061</t>
  </si>
  <si>
    <t>PIMIENTA</t>
  </si>
  <si>
    <t>especulativo</t>
  </si>
  <si>
    <t>tapas metalicas</t>
  </si>
  <si>
    <t>015061</t>
  </si>
  <si>
    <t>615061</t>
  </si>
  <si>
    <t>&lt;--- ?????</t>
  </si>
  <si>
    <t>porque 20?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</si>
</sst>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#,##0.0000"/>
    <numFmt numFmtId="166" formatCode="dd/mm/yyyy;@"/>
  </numFmts>
  <fonts count="4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b/>
      <sz val="16"/>
      <color rgb="FFE2BD1E"/>
      <name val="Calibri"/>
      <family val="2"/>
      <scheme val="minor"/>
    </font>
    <font>
      <b/>
      <sz val="16"/>
      <color rgb="FF0099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6"/>
      <color rgb="FFFF0066"/>
      <name val="Calibri"/>
      <family val="2"/>
      <scheme val="minor"/>
    </font>
    <font>
      <sz val="11"/>
      <color rgb="FFFF006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sz val="16"/>
      <color rgb="FFFF0000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8" tint="0.59999389629810485"/>
      <name val="Calibri"/>
      <family val="2"/>
      <scheme val="minor"/>
    </font>
    <font>
      <sz val="11"/>
      <color theme="8" tint="0.59999389629810485"/>
      <name val="Calibri"/>
      <family val="2"/>
      <scheme val="minor"/>
    </font>
    <font>
      <sz val="11"/>
      <color rgb="FF00B050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9"/>
      <color indexed="81"/>
      <name val="Tahoma"/>
      <family val="2"/>
    </font>
    <font>
      <b/>
      <sz val="16"/>
      <color theme="5" tint="0.59999389629810485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6"/>
      <color rgb="FFFFCC00"/>
      <name val="Calibri"/>
      <family val="2"/>
      <scheme val="minor"/>
    </font>
    <font>
      <sz val="11"/>
      <color rgb="FFFFCC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4E90C"/>
        <bgColor indexed="64"/>
      </patternFill>
    </fill>
    <fill>
      <patternFill patternType="solid">
        <fgColor rgb="FFEBEB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/>
      </patternFill>
    </fill>
    <fill>
      <patternFill patternType="solid">
        <fgColor rgb="FFFFFFCC"/>
        <bgColor indexed="64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D615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1EC1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15" fillId="11" borderId="0" applyNumberFormat="0" applyBorder="0" applyAlignment="0" applyProtection="0"/>
    <xf numFmtId="0" fontId="14" fillId="13" borderId="14" applyNumberFormat="0" applyAlignment="0" applyProtection="0"/>
  </cellStyleXfs>
  <cellXfs count="35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4" fontId="0" fillId="0" borderId="4" xfId="0" applyNumberFormat="1" applyBorder="1"/>
    <xf numFmtId="4" fontId="0" fillId="0" borderId="5" xfId="0" applyNumberFormat="1" applyBorder="1"/>
    <xf numFmtId="4" fontId="0" fillId="0" borderId="6" xfId="0" applyNumberForma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0" xfId="0" applyBorder="1"/>
    <xf numFmtId="0" fontId="1" fillId="0" borderId="0" xfId="0" applyFont="1"/>
    <xf numFmtId="0" fontId="0" fillId="0" borderId="8" xfId="0" applyBorder="1"/>
    <xf numFmtId="4" fontId="0" fillId="0" borderId="9" xfId="0" applyNumberFormat="1" applyBorder="1"/>
    <xf numFmtId="4" fontId="0" fillId="0" borderId="11" xfId="0" applyNumberFormat="1" applyBorder="1"/>
    <xf numFmtId="0" fontId="0" fillId="0" borderId="8" xfId="0" applyFill="1" applyBorder="1"/>
    <xf numFmtId="0" fontId="0" fillId="0" borderId="10" xfId="0" applyFill="1" applyBorder="1"/>
    <xf numFmtId="0" fontId="3" fillId="0" borderId="6" xfId="0" applyFont="1" applyFill="1" applyBorder="1" applyAlignment="1">
      <alignment horizontal="center"/>
    </xf>
    <xf numFmtId="4" fontId="2" fillId="2" borderId="9" xfId="0" applyNumberFormat="1" applyFont="1" applyFill="1" applyBorder="1"/>
    <xf numFmtId="4" fontId="0" fillId="2" borderId="9" xfId="0" applyNumberFormat="1" applyFill="1" applyBorder="1"/>
    <xf numFmtId="0" fontId="0" fillId="0" borderId="5" xfId="0" applyFont="1" applyBorder="1" applyAlignment="1">
      <alignment horizontal="center"/>
    </xf>
    <xf numFmtId="0" fontId="0" fillId="0" borderId="8" xfId="0" applyFont="1" applyBorder="1" applyAlignment="1"/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" fontId="0" fillId="4" borderId="1" xfId="0" applyNumberFormat="1" applyFill="1" applyBorder="1"/>
    <xf numFmtId="4" fontId="0" fillId="0" borderId="2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" fontId="0" fillId="0" borderId="0" xfId="0" applyNumberFormat="1"/>
    <xf numFmtId="4" fontId="1" fillId="5" borderId="1" xfId="0" applyNumberFormat="1" applyFont="1" applyFill="1" applyBorder="1"/>
    <xf numFmtId="164" fontId="1" fillId="6" borderId="1" xfId="0" applyNumberFormat="1" applyFont="1" applyFill="1" applyBorder="1" applyAlignment="1">
      <alignment horizontal="center"/>
    </xf>
    <xf numFmtId="4" fontId="1" fillId="6" borderId="1" xfId="0" applyNumberFormat="1" applyFont="1" applyFill="1" applyBorder="1"/>
    <xf numFmtId="4" fontId="1" fillId="6" borderId="2" xfId="0" applyNumberFormat="1" applyFont="1" applyFill="1" applyBorder="1"/>
    <xf numFmtId="4" fontId="0" fillId="0" borderId="0" xfId="0" applyNumberFormat="1" applyFill="1" applyBorder="1"/>
    <xf numFmtId="4" fontId="1" fillId="5" borderId="2" xfId="0" applyNumberFormat="1" applyFont="1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5" xfId="0" applyNumberFormat="1" applyBorder="1"/>
    <xf numFmtId="164" fontId="1" fillId="5" borderId="1" xfId="0" applyNumberFormat="1" applyFont="1" applyFill="1" applyBorder="1"/>
    <xf numFmtId="4" fontId="0" fillId="0" borderId="4" xfId="0" applyNumberFormat="1" applyFill="1" applyBorder="1"/>
    <xf numFmtId="4" fontId="0" fillId="0" borderId="5" xfId="0" applyNumberFormat="1" applyFill="1" applyBorder="1"/>
    <xf numFmtId="4" fontId="1" fillId="8" borderId="1" xfId="0" applyNumberFormat="1" applyFont="1" applyFill="1" applyBorder="1"/>
    <xf numFmtId="164" fontId="1" fillId="7" borderId="1" xfId="0" applyNumberFormat="1" applyFont="1" applyFill="1" applyBorder="1" applyAlignment="1">
      <alignment horizontal="center"/>
    </xf>
    <xf numFmtId="4" fontId="1" fillId="8" borderId="13" xfId="0" applyNumberFormat="1" applyFont="1" applyFill="1" applyBorder="1"/>
    <xf numFmtId="4" fontId="0" fillId="0" borderId="13" xfId="0" applyNumberFormat="1" applyBorder="1"/>
    <xf numFmtId="164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4" fontId="1" fillId="9" borderId="1" xfId="0" applyNumberFormat="1" applyFont="1" applyFill="1" applyBorder="1"/>
    <xf numFmtId="164" fontId="1" fillId="9" borderId="1" xfId="0" applyNumberFormat="1" applyFont="1" applyFill="1" applyBorder="1" applyAlignment="1">
      <alignment horizontal="center"/>
    </xf>
    <xf numFmtId="4" fontId="1" fillId="10" borderId="1" xfId="0" applyNumberFormat="1" applyFont="1" applyFill="1" applyBorder="1"/>
    <xf numFmtId="164" fontId="1" fillId="10" borderId="1" xfId="0" applyNumberFormat="1" applyFont="1" applyFill="1" applyBorder="1" applyAlignment="1">
      <alignment horizontal="center"/>
    </xf>
    <xf numFmtId="0" fontId="0" fillId="12" borderId="8" xfId="0" applyFill="1" applyBorder="1"/>
    <xf numFmtId="0" fontId="0" fillId="12" borderId="0" xfId="0" applyFill="1" applyBorder="1"/>
    <xf numFmtId="0" fontId="0" fillId="12" borderId="9" xfId="0" applyFill="1" applyBorder="1"/>
    <xf numFmtId="4" fontId="0" fillId="12" borderId="0" xfId="0" applyNumberFormat="1" applyFill="1" applyBorder="1"/>
    <xf numFmtId="0" fontId="16" fillId="12" borderId="8" xfId="0" applyFont="1" applyFill="1" applyBorder="1" applyAlignment="1">
      <alignment horizontal="left"/>
    </xf>
    <xf numFmtId="0" fontId="0" fillId="4" borderId="1" xfId="0" applyFill="1" applyBorder="1"/>
    <xf numFmtId="4" fontId="0" fillId="4" borderId="1" xfId="0" applyNumberFormat="1" applyFill="1" applyBorder="1"/>
    <xf numFmtId="0" fontId="1" fillId="4" borderId="4" xfId="0" applyFont="1" applyFill="1" applyBorder="1"/>
    <xf numFmtId="4" fontId="1" fillId="4" borderId="4" xfId="0" applyNumberFormat="1" applyFont="1" applyFill="1" applyBorder="1"/>
    <xf numFmtId="4" fontId="1" fillId="4" borderId="4" xfId="0" applyNumberFormat="1" applyFont="1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7" fillId="14" borderId="1" xfId="0" applyFont="1" applyFill="1" applyBorder="1" applyAlignment="1">
      <alignment horizontal="center"/>
    </xf>
    <xf numFmtId="0" fontId="0" fillId="14" borderId="1" xfId="0" applyFill="1" applyBorder="1"/>
    <xf numFmtId="4" fontId="0" fillId="14" borderId="1" xfId="0" applyNumberFormat="1" applyFill="1" applyBorder="1" applyAlignment="1">
      <alignment horizontal="center"/>
    </xf>
    <xf numFmtId="0" fontId="1" fillId="3" borderId="1" xfId="0" applyFont="1" applyFill="1" applyBorder="1"/>
    <xf numFmtId="4" fontId="1" fillId="3" borderId="1" xfId="0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2" xfId="0" applyNumberFormat="1" applyBorder="1"/>
    <xf numFmtId="165" fontId="0" fillId="0" borderId="1" xfId="0" applyNumberFormat="1" applyBorder="1"/>
    <xf numFmtId="4" fontId="1" fillId="15" borderId="1" xfId="0" applyNumberFormat="1" applyFont="1" applyFill="1" applyBorder="1"/>
    <xf numFmtId="164" fontId="1" fillId="15" borderId="1" xfId="0" applyNumberFormat="1" applyFont="1" applyFill="1" applyBorder="1" applyAlignment="1">
      <alignment horizontal="center"/>
    </xf>
    <xf numFmtId="4" fontId="1" fillId="3" borderId="12" xfId="0" applyNumberFormat="1" applyFont="1" applyFill="1" applyBorder="1" applyAlignment="1">
      <alignment horizontal="center"/>
    </xf>
    <xf numFmtId="4" fontId="2" fillId="0" borderId="9" xfId="0" applyNumberFormat="1" applyFont="1" applyFill="1" applyBorder="1"/>
    <xf numFmtId="4" fontId="0" fillId="0" borderId="9" xfId="0" applyNumberFormat="1" applyFill="1" applyBorder="1"/>
    <xf numFmtId="4" fontId="1" fillId="16" borderId="1" xfId="0" applyNumberFormat="1" applyFont="1" applyFill="1" applyBorder="1"/>
    <xf numFmtId="164" fontId="1" fillId="16" borderId="1" xfId="0" applyNumberFormat="1" applyFont="1" applyFill="1" applyBorder="1" applyAlignment="1">
      <alignment horizontal="center"/>
    </xf>
    <xf numFmtId="4" fontId="0" fillId="17" borderId="1" xfId="0" applyNumberFormat="1" applyFill="1" applyBorder="1"/>
    <xf numFmtId="4" fontId="1" fillId="0" borderId="1" xfId="0" applyNumberFormat="1" applyFont="1" applyBorder="1"/>
    <xf numFmtId="0" fontId="1" fillId="18" borderId="1" xfId="0" applyFont="1" applyFill="1" applyBorder="1" applyAlignment="1">
      <alignment horizontal="center"/>
    </xf>
    <xf numFmtId="0" fontId="16" fillId="18" borderId="1" xfId="0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3" fillId="0" borderId="0" xfId="0" applyFont="1" applyAlignment="1">
      <alignment vertical="center"/>
    </xf>
    <xf numFmtId="4" fontId="0" fillId="0" borderId="0" xfId="0" applyNumberFormat="1" applyBorder="1"/>
    <xf numFmtId="164" fontId="0" fillId="0" borderId="4" xfId="0" applyNumberFormat="1" applyBorder="1"/>
    <xf numFmtId="4" fontId="0" fillId="4" borderId="12" xfId="0" applyNumberFormat="1" applyFill="1" applyBorder="1"/>
    <xf numFmtId="0" fontId="1" fillId="3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9" borderId="2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9" fillId="15" borderId="2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6" fontId="27" fillId="0" borderId="5" xfId="0" applyNumberFormat="1" applyFont="1" applyBorder="1" applyAlignment="1">
      <alignment horizontal="center" vertical="center"/>
    </xf>
    <xf numFmtId="166" fontId="27" fillId="0" borderId="6" xfId="0" applyNumberFormat="1" applyFont="1" applyBorder="1" applyAlignment="1">
      <alignment horizontal="center" vertical="center"/>
    </xf>
    <xf numFmtId="166" fontId="27" fillId="0" borderId="0" xfId="0" applyNumberFormat="1" applyFont="1" applyAlignment="1">
      <alignment horizontal="center" vertical="center"/>
    </xf>
    <xf numFmtId="4" fontId="0" fillId="0" borderId="15" xfId="0" applyNumberFormat="1" applyBorder="1"/>
    <xf numFmtId="0" fontId="29" fillId="0" borderId="8" xfId="0" applyFont="1" applyBorder="1"/>
    <xf numFmtId="0" fontId="30" fillId="0" borderId="5" xfId="0" applyFont="1" applyBorder="1" applyAlignment="1">
      <alignment horizontal="center"/>
    </xf>
    <xf numFmtId="4" fontId="2" fillId="0" borderId="9" xfId="0" applyNumberFormat="1" applyFont="1" applyBorder="1"/>
    <xf numFmtId="166" fontId="2" fillId="0" borderId="5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4" fontId="0" fillId="0" borderId="4" xfId="0" applyNumberFormat="1" applyBorder="1" applyAlignment="1">
      <alignment horizontal="right"/>
    </xf>
    <xf numFmtId="4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4" fontId="0" fillId="0" borderId="1" xfId="0" applyNumberFormat="1" applyBorder="1" applyAlignment="1">
      <alignment horizontal="right"/>
    </xf>
    <xf numFmtId="4" fontId="0" fillId="4" borderId="1" xfId="0" applyNumberFormat="1" applyFill="1" applyBorder="1" applyAlignment="1">
      <alignment horizontal="right"/>
    </xf>
    <xf numFmtId="4" fontId="0" fillId="4" borderId="4" xfId="0" applyNumberFormat="1" applyFill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4" fontId="0" fillId="0" borderId="16" xfId="0" applyNumberFormat="1" applyBorder="1" applyAlignment="1">
      <alignment horizontal="right"/>
    </xf>
    <xf numFmtId="4" fontId="0" fillId="0" borderId="9" xfId="0" applyNumberFormat="1" applyBorder="1" applyAlignment="1">
      <alignment horizontal="right"/>
    </xf>
    <xf numFmtId="165" fontId="0" fillId="0" borderId="4" xfId="0" applyNumberFormat="1" applyBorder="1"/>
    <xf numFmtId="165" fontId="0" fillId="0" borderId="5" xfId="0" applyNumberFormat="1" applyBorder="1"/>
    <xf numFmtId="0" fontId="0" fillId="4" borderId="12" xfId="0" applyFill="1" applyBorder="1"/>
    <xf numFmtId="4" fontId="0" fillId="4" borderId="13" xfId="0" applyNumberFormat="1" applyFill="1" applyBorder="1"/>
    <xf numFmtId="0" fontId="1" fillId="19" borderId="4" xfId="0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4" fontId="0" fillId="4" borderId="15" xfId="0" applyNumberFormat="1" applyFill="1" applyBorder="1"/>
    <xf numFmtId="4" fontId="0" fillId="0" borderId="3" xfId="0" applyNumberFormat="1" applyBorder="1"/>
    <xf numFmtId="0" fontId="28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8" xfId="0" applyFont="1" applyBorder="1"/>
    <xf numFmtId="0" fontId="27" fillId="0" borderId="8" xfId="0" applyFont="1" applyBorder="1"/>
    <xf numFmtId="0" fontId="3" fillId="12" borderId="0" xfId="0" applyFont="1" applyFill="1" applyBorder="1" applyAlignment="1">
      <alignment horizontal="left"/>
    </xf>
    <xf numFmtId="0" fontId="3" fillId="12" borderId="9" xfId="0" applyFont="1" applyFill="1" applyBorder="1" applyAlignment="1">
      <alignment horizontal="left"/>
    </xf>
    <xf numFmtId="0" fontId="3" fillId="12" borderId="3" xfId="0" applyFont="1" applyFill="1" applyBorder="1" applyAlignment="1">
      <alignment horizontal="left"/>
    </xf>
    <xf numFmtId="0" fontId="3" fillId="12" borderId="11" xfId="0" applyFont="1" applyFill="1" applyBorder="1" applyAlignment="1">
      <alignment horizontal="left"/>
    </xf>
    <xf numFmtId="0" fontId="0" fillId="12" borderId="7" xfId="0" applyFill="1" applyBorder="1"/>
    <xf numFmtId="0" fontId="0" fillId="12" borderId="15" xfId="0" applyFill="1" applyBorder="1"/>
    <xf numFmtId="0" fontId="0" fillId="12" borderId="16" xfId="0" applyFill="1" applyBorder="1"/>
    <xf numFmtId="0" fontId="31" fillId="20" borderId="1" xfId="0" applyFont="1" applyFill="1" applyBorder="1" applyAlignment="1">
      <alignment horizontal="left"/>
    </xf>
    <xf numFmtId="0" fontId="31" fillId="20" borderId="12" xfId="0" applyFont="1" applyFill="1" applyBorder="1" applyAlignment="1">
      <alignment horizontal="center"/>
    </xf>
    <xf numFmtId="166" fontId="32" fillId="3" borderId="1" xfId="0" applyNumberFormat="1" applyFont="1" applyFill="1" applyBorder="1" applyAlignment="1">
      <alignment horizontal="center" vertical="center" wrapText="1"/>
    </xf>
    <xf numFmtId="0" fontId="29" fillId="0" borderId="0" xfId="0" applyFont="1"/>
    <xf numFmtId="0" fontId="3" fillId="0" borderId="5" xfId="0" applyFont="1" applyFill="1" applyBorder="1" applyAlignment="1">
      <alignment horizontal="center"/>
    </xf>
    <xf numFmtId="4" fontId="0" fillId="0" borderId="9" xfId="0" applyNumberFormat="1" applyFont="1" applyFill="1" applyBorder="1" applyAlignment="1">
      <alignment horizontal="right"/>
    </xf>
    <xf numFmtId="0" fontId="9" fillId="16" borderId="2" xfId="0" applyFont="1" applyFill="1" applyBorder="1" applyAlignment="1">
      <alignment horizontal="center"/>
    </xf>
    <xf numFmtId="4" fontId="0" fillId="0" borderId="0" xfId="0" applyNumberFormat="1" applyAlignment="1">
      <alignment horizontal="right"/>
    </xf>
    <xf numFmtId="0" fontId="14" fillId="11" borderId="0" xfId="1" applyFont="1" applyBorder="1" applyAlignment="1">
      <alignment horizontal="center" vertical="center"/>
    </xf>
    <xf numFmtId="0" fontId="14" fillId="11" borderId="0" xfId="1" applyFont="1" applyBorder="1" applyAlignment="1">
      <alignment horizontal="right" vertical="center"/>
    </xf>
    <xf numFmtId="166" fontId="36" fillId="11" borderId="0" xfId="1" applyNumberFormat="1" applyFont="1" applyBorder="1" applyAlignment="1">
      <alignment horizontal="center" vertical="center"/>
    </xf>
    <xf numFmtId="4" fontId="0" fillId="4" borderId="12" xfId="0" applyNumberFormat="1" applyFill="1" applyBorder="1" applyProtection="1">
      <protection locked="0"/>
    </xf>
    <xf numFmtId="4" fontId="0" fillId="4" borderId="1" xfId="0" applyNumberFormat="1" applyFill="1" applyBorder="1" applyProtection="1">
      <protection locked="0"/>
    </xf>
    <xf numFmtId="4" fontId="0" fillId="0" borderId="12" xfId="0" applyNumberFormat="1" applyFill="1" applyBorder="1" applyProtection="1">
      <protection locked="0"/>
    </xf>
    <xf numFmtId="4" fontId="0" fillId="0" borderId="1" xfId="0" applyNumberFormat="1" applyFill="1" applyBorder="1"/>
    <xf numFmtId="4" fontId="0" fillId="0" borderId="1" xfId="0" applyNumberFormat="1" applyFill="1" applyBorder="1" applyAlignment="1">
      <alignment horizontal="right"/>
    </xf>
    <xf numFmtId="4" fontId="0" fillId="0" borderId="12" xfId="0" applyNumberFormat="1" applyFill="1" applyBorder="1"/>
    <xf numFmtId="4" fontId="0" fillId="0" borderId="16" xfId="0" applyNumberFormat="1" applyBorder="1"/>
    <xf numFmtId="0" fontId="0" fillId="0" borderId="9" xfId="0" applyBorder="1"/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166" fontId="27" fillId="0" borderId="1" xfId="0" applyNumberFormat="1" applyFont="1" applyBorder="1" applyAlignment="1">
      <alignment horizontal="center" vertical="center"/>
    </xf>
    <xf numFmtId="0" fontId="2" fillId="12" borderId="1" xfId="0" applyFont="1" applyFill="1" applyBorder="1" applyAlignment="1">
      <alignment horizontal="right" vertical="center"/>
    </xf>
    <xf numFmtId="4" fontId="2" fillId="0" borderId="1" xfId="0" applyNumberFormat="1" applyFont="1" applyBorder="1" applyAlignment="1">
      <alignment vertical="center"/>
    </xf>
    <xf numFmtId="0" fontId="9" fillId="21" borderId="6" xfId="0" applyFont="1" applyFill="1" applyBorder="1" applyAlignment="1">
      <alignment vertical="center"/>
    </xf>
    <xf numFmtId="4" fontId="9" fillId="21" borderId="6" xfId="0" applyNumberFormat="1" applyFont="1" applyFill="1" applyBorder="1" applyAlignment="1">
      <alignment vertical="center"/>
    </xf>
    <xf numFmtId="3" fontId="9" fillId="12" borderId="1" xfId="0" applyNumberFormat="1" applyFont="1" applyFill="1" applyBorder="1" applyAlignment="1">
      <alignment horizontal="center"/>
    </xf>
    <xf numFmtId="166" fontId="37" fillId="1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4" fontId="2" fillId="0" borderId="0" xfId="0" applyNumberFormat="1" applyFont="1" applyFill="1" applyBorder="1" applyAlignment="1">
      <alignment horizontal="right"/>
    </xf>
    <xf numFmtId="165" fontId="0" fillId="0" borderId="0" xfId="0" applyNumberFormat="1" applyBorder="1"/>
    <xf numFmtId="0" fontId="1" fillId="3" borderId="12" xfId="0" applyFont="1" applyFill="1" applyBorder="1" applyAlignment="1">
      <alignment horizontal="center"/>
    </xf>
    <xf numFmtId="0" fontId="0" fillId="0" borderId="0" xfId="0" applyFill="1"/>
    <xf numFmtId="4" fontId="0" fillId="4" borderId="2" xfId="0" applyNumberFormat="1" applyFill="1" applyBorder="1"/>
    <xf numFmtId="4" fontId="0" fillId="0" borderId="2" xfId="0" applyNumberFormat="1" applyFill="1" applyBorder="1"/>
    <xf numFmtId="165" fontId="0" fillId="0" borderId="6" xfId="0" applyNumberFormat="1" applyBorder="1"/>
    <xf numFmtId="4" fontId="0" fillId="4" borderId="2" xfId="0" applyNumberFormat="1" applyFont="1" applyFill="1" applyBorder="1" applyAlignment="1">
      <alignment horizontal="right"/>
    </xf>
    <xf numFmtId="0" fontId="2" fillId="0" borderId="8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right"/>
    </xf>
    <xf numFmtId="0" fontId="9" fillId="22" borderId="2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4" fontId="1" fillId="22" borderId="1" xfId="0" applyNumberFormat="1" applyFont="1" applyFill="1" applyBorder="1"/>
    <xf numFmtId="164" fontId="1" fillId="22" borderId="1" xfId="0" applyNumberFormat="1" applyFont="1" applyFill="1" applyBorder="1" applyAlignment="1">
      <alignment horizontal="center"/>
    </xf>
    <xf numFmtId="0" fontId="29" fillId="0" borderId="0" xfId="0" applyFont="1" applyFill="1"/>
    <xf numFmtId="0" fontId="9" fillId="23" borderId="2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4" fontId="1" fillId="23" borderId="1" xfId="0" applyNumberFormat="1" applyFont="1" applyFill="1" applyBorder="1"/>
    <xf numFmtId="164" fontId="1" fillId="23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18" fillId="3" borderId="1" xfId="0" applyNumberFormat="1" applyFont="1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4" borderId="4" xfId="0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4" fontId="1" fillId="24" borderId="1" xfId="0" applyNumberFormat="1" applyFont="1" applyFill="1" applyBorder="1"/>
    <xf numFmtId="164" fontId="1" fillId="24" borderId="1" xfId="0" applyNumberFormat="1" applyFont="1" applyFill="1" applyBorder="1" applyAlignment="1">
      <alignment horizontal="center"/>
    </xf>
    <xf numFmtId="4" fontId="0" fillId="25" borderId="1" xfId="0" applyNumberFormat="1" applyFill="1" applyBorder="1"/>
    <xf numFmtId="0" fontId="14" fillId="11" borderId="17" xfId="1" applyFont="1" applyBorder="1" applyAlignment="1">
      <alignment horizontal="center" vertical="center"/>
    </xf>
    <xf numFmtId="0" fontId="3" fillId="12" borderId="7" xfId="0" applyFont="1" applyFill="1" applyBorder="1" applyAlignment="1">
      <alignment horizontal="left"/>
    </xf>
    <xf numFmtId="0" fontId="3" fillId="12" borderId="15" xfId="0" applyFont="1" applyFill="1" applyBorder="1" applyAlignment="1">
      <alignment horizontal="left"/>
    </xf>
    <xf numFmtId="0" fontId="3" fillId="12" borderId="16" xfId="0" applyFont="1" applyFill="1" applyBorder="1" applyAlignment="1">
      <alignment horizontal="left"/>
    </xf>
    <xf numFmtId="0" fontId="3" fillId="12" borderId="8" xfId="0" applyFont="1" applyFill="1" applyBorder="1" applyAlignment="1">
      <alignment horizontal="left"/>
    </xf>
    <xf numFmtId="0" fontId="3" fillId="12" borderId="0" xfId="0" applyFont="1" applyFill="1" applyBorder="1" applyAlignment="1">
      <alignment horizontal="left"/>
    </xf>
    <xf numFmtId="0" fontId="3" fillId="12" borderId="9" xfId="0" applyFont="1" applyFill="1" applyBorder="1" applyAlignment="1">
      <alignment horizontal="left"/>
    </xf>
    <xf numFmtId="0" fontId="19" fillId="9" borderId="17" xfId="2" applyFont="1" applyFill="1" applyBorder="1" applyAlignment="1">
      <alignment horizontal="center"/>
    </xf>
    <xf numFmtId="0" fontId="16" fillId="21" borderId="1" xfId="0" applyFont="1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/>
    </xf>
    <xf numFmtId="0" fontId="0" fillId="21" borderId="1" xfId="0" applyFont="1" applyFill="1" applyBorder="1" applyAlignment="1">
      <alignment horizontal="center" vertical="center"/>
    </xf>
    <xf numFmtId="0" fontId="16" fillId="2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right"/>
    </xf>
    <xf numFmtId="0" fontId="1" fillId="6" borderId="13" xfId="0" applyFont="1" applyFill="1" applyBorder="1" applyAlignment="1">
      <alignment horizontal="right"/>
    </xf>
    <xf numFmtId="0" fontId="1" fillId="6" borderId="12" xfId="0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right"/>
    </xf>
    <xf numFmtId="49" fontId="1" fillId="0" borderId="13" xfId="0" applyNumberFormat="1" applyFont="1" applyBorder="1" applyAlignment="1">
      <alignment horizontal="right"/>
    </xf>
    <xf numFmtId="49" fontId="1" fillId="0" borderId="12" xfId="0" applyNumberFormat="1" applyFont="1" applyBorder="1" applyAlignment="1">
      <alignment horizontal="right"/>
    </xf>
    <xf numFmtId="14" fontId="1" fillId="4" borderId="2" xfId="0" applyNumberFormat="1" applyFont="1" applyFill="1" applyBorder="1" applyAlignment="1">
      <alignment horizontal="center"/>
    </xf>
    <xf numFmtId="14" fontId="1" fillId="4" borderId="13" xfId="0" applyNumberFormat="1" applyFont="1" applyFill="1" applyBorder="1" applyAlignment="1">
      <alignment horizontal="center"/>
    </xf>
    <xf numFmtId="14" fontId="1" fillId="4" borderId="12" xfId="0" applyNumberFormat="1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49" fontId="1" fillId="4" borderId="13" xfId="0" applyNumberFormat="1" applyFont="1" applyFill="1" applyBorder="1" applyAlignment="1">
      <alignment horizontal="center"/>
    </xf>
    <xf numFmtId="49" fontId="1" fillId="4" borderId="12" xfId="0" applyNumberFormat="1" applyFont="1" applyFill="1" applyBorder="1" applyAlignment="1">
      <alignment horizontal="center"/>
    </xf>
    <xf numFmtId="3" fontId="1" fillId="4" borderId="13" xfId="0" applyNumberFormat="1" applyFont="1" applyFill="1" applyBorder="1" applyAlignment="1">
      <alignment horizontal="center"/>
    </xf>
    <xf numFmtId="3" fontId="1" fillId="4" borderId="12" xfId="0" applyNumberFormat="1" applyFont="1" applyFill="1" applyBorder="1" applyAlignment="1">
      <alignment horizontal="center"/>
    </xf>
    <xf numFmtId="49" fontId="0" fillId="0" borderId="13" xfId="0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3" fontId="0" fillId="0" borderId="2" xfId="0" applyNumberFormat="1" applyFont="1" applyFill="1" applyBorder="1" applyAlignment="1">
      <alignment horizontal="center"/>
    </xf>
    <xf numFmtId="3" fontId="0" fillId="0" borderId="1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right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right"/>
    </xf>
    <xf numFmtId="49" fontId="1" fillId="0" borderId="15" xfId="0" applyNumberFormat="1" applyFont="1" applyBorder="1" applyAlignment="1">
      <alignment horizontal="right"/>
    </xf>
    <xf numFmtId="49" fontId="0" fillId="0" borderId="2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right"/>
    </xf>
    <xf numFmtId="0" fontId="1" fillId="8" borderId="6" xfId="0" applyFont="1" applyFill="1" applyBorder="1" applyAlignment="1">
      <alignment horizontal="right"/>
    </xf>
    <xf numFmtId="0" fontId="1" fillId="8" borderId="2" xfId="0" applyFont="1" applyFill="1" applyBorder="1" applyAlignment="1">
      <alignment horizontal="right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right"/>
    </xf>
    <xf numFmtId="14" fontId="1" fillId="4" borderId="2" xfId="0" applyNumberFormat="1" applyFont="1" applyFill="1" applyBorder="1" applyAlignment="1" applyProtection="1">
      <alignment horizontal="center"/>
      <protection locked="0"/>
    </xf>
    <xf numFmtId="14" fontId="1" fillId="4" borderId="13" xfId="0" applyNumberFormat="1" applyFont="1" applyFill="1" applyBorder="1" applyAlignment="1" applyProtection="1">
      <alignment horizontal="center"/>
      <protection locked="0"/>
    </xf>
    <xf numFmtId="0" fontId="1" fillId="0" borderId="6" xfId="0" applyFont="1" applyBorder="1" applyAlignment="1">
      <alignment horizontal="center" vertical="center" wrapText="1"/>
    </xf>
    <xf numFmtId="49" fontId="1" fillId="4" borderId="2" xfId="0" applyNumberFormat="1" applyFont="1" applyFill="1" applyBorder="1" applyAlignment="1" applyProtection="1">
      <alignment horizontal="center"/>
      <protection locked="0"/>
    </xf>
    <xf numFmtId="49" fontId="1" fillId="4" borderId="13" xfId="0" applyNumberFormat="1" applyFont="1" applyFill="1" applyBorder="1" applyAlignment="1" applyProtection="1">
      <alignment horizontal="center"/>
      <protection locked="0"/>
    </xf>
    <xf numFmtId="3" fontId="1" fillId="4" borderId="13" xfId="0" applyNumberFormat="1" applyFont="1" applyFill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24" borderId="2" xfId="0" applyFont="1" applyFill="1" applyBorder="1" applyAlignment="1">
      <alignment horizontal="right"/>
    </xf>
    <xf numFmtId="0" fontId="1" fillId="24" borderId="13" xfId="0" applyFont="1" applyFill="1" applyBorder="1" applyAlignment="1">
      <alignment horizontal="right"/>
    </xf>
    <xf numFmtId="0" fontId="1" fillId="24" borderId="12" xfId="0" applyFont="1" applyFill="1" applyBorder="1" applyAlignment="1">
      <alignment horizontal="right"/>
    </xf>
    <xf numFmtId="0" fontId="1" fillId="24" borderId="1" xfId="0" applyFont="1" applyFill="1" applyBorder="1" applyAlignment="1">
      <alignment horizontal="right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right"/>
    </xf>
    <xf numFmtId="0" fontId="1" fillId="16" borderId="13" xfId="0" applyFont="1" applyFill="1" applyBorder="1" applyAlignment="1">
      <alignment horizontal="right"/>
    </xf>
    <xf numFmtId="0" fontId="1" fillId="16" borderId="12" xfId="0" applyFont="1" applyFill="1" applyBorder="1" applyAlignment="1">
      <alignment horizontal="right"/>
    </xf>
    <xf numFmtId="0" fontId="1" fillId="16" borderId="1" xfId="0" applyFont="1" applyFill="1" applyBorder="1" applyAlignment="1">
      <alignment horizontal="right"/>
    </xf>
    <xf numFmtId="0" fontId="1" fillId="9" borderId="2" xfId="0" applyFont="1" applyFill="1" applyBorder="1" applyAlignment="1">
      <alignment horizontal="right"/>
    </xf>
    <xf numFmtId="0" fontId="1" fillId="9" borderId="3" xfId="0" applyFont="1" applyFill="1" applyBorder="1" applyAlignment="1">
      <alignment horizontal="right"/>
    </xf>
    <xf numFmtId="0" fontId="1" fillId="9" borderId="13" xfId="0" applyFont="1" applyFill="1" applyBorder="1" applyAlignment="1">
      <alignment horizontal="right"/>
    </xf>
    <xf numFmtId="0" fontId="1" fillId="9" borderId="12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0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right"/>
    </xf>
    <xf numFmtId="0" fontId="1" fillId="10" borderId="3" xfId="0" applyFont="1" applyFill="1" applyBorder="1" applyAlignment="1">
      <alignment horizontal="right"/>
    </xf>
    <xf numFmtId="0" fontId="1" fillId="10" borderId="13" xfId="0" applyFont="1" applyFill="1" applyBorder="1" applyAlignment="1">
      <alignment horizontal="right"/>
    </xf>
    <xf numFmtId="0" fontId="1" fillId="10" borderId="12" xfId="0" applyFont="1" applyFill="1" applyBorder="1" applyAlignment="1">
      <alignment horizontal="right"/>
    </xf>
    <xf numFmtId="0" fontId="1" fillId="10" borderId="1" xfId="0" applyFont="1" applyFill="1" applyBorder="1" applyAlignment="1">
      <alignment horizontal="right"/>
    </xf>
    <xf numFmtId="0" fontId="12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" fillId="15" borderId="2" xfId="0" applyFont="1" applyFill="1" applyBorder="1" applyAlignment="1">
      <alignment horizontal="right"/>
    </xf>
    <xf numFmtId="0" fontId="1" fillId="15" borderId="3" xfId="0" applyFont="1" applyFill="1" applyBorder="1" applyAlignment="1">
      <alignment horizontal="right"/>
    </xf>
    <xf numFmtId="0" fontId="1" fillId="15" borderId="13" xfId="0" applyFont="1" applyFill="1" applyBorder="1" applyAlignment="1">
      <alignment horizontal="right"/>
    </xf>
    <xf numFmtId="0" fontId="1" fillId="15" borderId="12" xfId="0" applyFont="1" applyFill="1" applyBorder="1" applyAlignment="1">
      <alignment horizontal="right"/>
    </xf>
    <xf numFmtId="0" fontId="1" fillId="15" borderId="1" xfId="0" applyFont="1" applyFill="1" applyBorder="1" applyAlignment="1">
      <alignment horizontal="right"/>
    </xf>
    <xf numFmtId="0" fontId="20" fillId="0" borderId="4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49" fontId="0" fillId="0" borderId="13" xfId="0" applyNumberFormat="1" applyFont="1" applyFill="1" applyBorder="1" applyAlignment="1">
      <alignment horizontal="center"/>
    </xf>
    <xf numFmtId="49" fontId="0" fillId="0" borderId="12" xfId="0" applyNumberFormat="1" applyFont="1" applyFill="1" applyBorder="1" applyAlignment="1">
      <alignment horizontal="center"/>
    </xf>
    <xf numFmtId="3" fontId="0" fillId="0" borderId="7" xfId="0" applyNumberFormat="1" applyFont="1" applyFill="1" applyBorder="1" applyAlignment="1">
      <alignment horizontal="center"/>
    </xf>
    <xf numFmtId="0" fontId="1" fillId="22" borderId="2" xfId="0" applyFont="1" applyFill="1" applyBorder="1" applyAlignment="1">
      <alignment horizontal="right"/>
    </xf>
    <xf numFmtId="0" fontId="1" fillId="22" borderId="13" xfId="0" applyFont="1" applyFill="1" applyBorder="1" applyAlignment="1">
      <alignment horizontal="right"/>
    </xf>
    <xf numFmtId="0" fontId="1" fillId="22" borderId="12" xfId="0" applyFont="1" applyFill="1" applyBorder="1" applyAlignment="1">
      <alignment horizontal="right"/>
    </xf>
    <xf numFmtId="0" fontId="1" fillId="22" borderId="1" xfId="0" applyFont="1" applyFill="1" applyBorder="1" applyAlignment="1">
      <alignment horizontal="right"/>
    </xf>
    <xf numFmtId="0" fontId="38" fillId="0" borderId="4" xfId="0" applyFont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wrapText="1"/>
    </xf>
    <xf numFmtId="0" fontId="1" fillId="23" borderId="2" xfId="0" applyFont="1" applyFill="1" applyBorder="1" applyAlignment="1">
      <alignment horizontal="right"/>
    </xf>
    <xf numFmtId="0" fontId="1" fillId="23" borderId="13" xfId="0" applyFont="1" applyFill="1" applyBorder="1" applyAlignment="1">
      <alignment horizontal="right"/>
    </xf>
    <xf numFmtId="0" fontId="1" fillId="23" borderId="12" xfId="0" applyFont="1" applyFill="1" applyBorder="1" applyAlignment="1">
      <alignment horizontal="right"/>
    </xf>
    <xf numFmtId="0" fontId="1" fillId="23" borderId="1" xfId="0" applyFont="1" applyFill="1" applyBorder="1" applyAlignment="1">
      <alignment horizontal="right"/>
    </xf>
    <xf numFmtId="0" fontId="40" fillId="0" borderId="4" xfId="0" applyFont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6" xfId="0" applyFont="1" applyBorder="1" applyAlignment="1">
      <alignment horizontal="center" vertical="center" wrapText="1"/>
    </xf>
    <xf numFmtId="0" fontId="42" fillId="0" borderId="4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49" fontId="0" fillId="0" borderId="2" xfId="0" applyNumberFormat="1" applyFont="1" applyFill="1" applyBorder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right"/>
    </xf>
    <xf numFmtId="0" fontId="1" fillId="5" borderId="13" xfId="0" applyFont="1" applyFill="1" applyBorder="1" applyAlignment="1">
      <alignment horizontal="right"/>
    </xf>
    <xf numFmtId="0" fontId="1" fillId="5" borderId="12" xfId="0" applyFont="1" applyFill="1" applyBorder="1" applyAlignment="1">
      <alignment horizontal="right"/>
    </xf>
    <xf numFmtId="3" fontId="1" fillId="4" borderId="2" xfId="0" applyNumberFormat="1" applyFont="1" applyFill="1" applyBorder="1" applyAlignment="1">
      <alignment horizontal="center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</cellXfs>
  <cellStyles count="3">
    <cellStyle name="Celda de comprobación" xfId="2" builtinId="23"/>
    <cellStyle name="Énfasis3" xfId="1" builtinId="37"/>
    <cellStyle name="Normal" xfId="0" builtinId="0"/>
  </cellStyles>
  <dxfs count="0"/>
  <tableStyles count="0" defaultTableStyle="TableStyleMedium2" defaultPivotStyle="PivotStyleLight16"/>
  <colors>
    <mruColors>
      <color rgb="FFCCCC00"/>
      <color rgb="FFFD6151"/>
      <color rgb="FFFFCC00"/>
      <color rgb="FFFFFF00"/>
      <color rgb="FFFFFFCC"/>
      <color rgb="FFFEE8E6"/>
      <color rgb="FFFFFF66"/>
      <color rgb="FFF1EC1C"/>
      <color rgb="FFFFCCCC"/>
      <color rgb="FF99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5"/>
  <sheetViews>
    <sheetView zoomScale="75" zoomScaleNormal="75" workbookViewId="0">
      <pane ySplit="1" topLeftCell="A17" activePane="bottomLeft" state="frozenSplit"/>
      <selection activeCell="I32" sqref="I32"/>
      <selection pane="bottomLeft" activeCell="C7" sqref="C7"/>
    </sheetView>
  </sheetViews>
  <sheetFormatPr baseColWidth="10" defaultRowHeight="15"/>
  <cols>
    <col min="1" max="1" width="45.140625" customWidth="1"/>
    <col min="2" max="2" width="11.42578125" style="3"/>
    <col min="3" max="3" width="11.42578125" style="32" customWidth="1"/>
    <col min="4" max="4" width="15.5703125" style="113" customWidth="1"/>
    <col min="5" max="5" width="49" style="2" bestFit="1" customWidth="1"/>
    <col min="6" max="6" width="49.85546875" customWidth="1"/>
    <col min="7" max="7" width="13.28515625" customWidth="1"/>
    <col min="8" max="8" width="12.42578125" customWidth="1"/>
    <col min="9" max="9" width="14.5703125" bestFit="1" customWidth="1"/>
  </cols>
  <sheetData>
    <row r="1" spans="1:10" s="1" customFormat="1" ht="49.5" customHeight="1" thickBot="1">
      <c r="A1" s="26" t="s">
        <v>110</v>
      </c>
      <c r="B1" s="27" t="s">
        <v>0</v>
      </c>
      <c r="C1" s="77" t="s">
        <v>30</v>
      </c>
      <c r="D1" s="157" t="s">
        <v>93</v>
      </c>
      <c r="E1" s="145" t="s">
        <v>95</v>
      </c>
    </row>
    <row r="2" spans="1:10" s="7" customFormat="1" ht="15.75" thickTop="1">
      <c r="A2" s="25" t="s">
        <v>40</v>
      </c>
      <c r="B2" s="24" t="s">
        <v>24</v>
      </c>
      <c r="C2" s="160">
        <v>1200</v>
      </c>
      <c r="D2" s="111">
        <v>42501</v>
      </c>
      <c r="F2" s="219" t="s">
        <v>55</v>
      </c>
      <c r="G2" s="219"/>
      <c r="H2" s="219"/>
      <c r="I2" s="219"/>
    </row>
    <row r="3" spans="1:10">
      <c r="A3" s="16" t="s">
        <v>1</v>
      </c>
      <c r="B3" s="13" t="s">
        <v>22</v>
      </c>
      <c r="C3" s="17">
        <v>2000</v>
      </c>
      <c r="D3" s="111">
        <v>42524</v>
      </c>
      <c r="F3" s="164" t="s">
        <v>114</v>
      </c>
      <c r="G3" s="165">
        <v>42491</v>
      </c>
      <c r="H3" s="163"/>
      <c r="I3" s="163"/>
    </row>
    <row r="4" spans="1:10">
      <c r="A4" s="19" t="s">
        <v>25</v>
      </c>
      <c r="B4" s="13" t="s">
        <v>26</v>
      </c>
      <c r="C4" s="17"/>
      <c r="D4" s="111"/>
      <c r="F4" s="152"/>
      <c r="G4" s="153"/>
      <c r="H4" s="153"/>
      <c r="I4" s="154"/>
    </row>
    <row r="5" spans="1:10">
      <c r="A5" s="16" t="s">
        <v>2</v>
      </c>
      <c r="B5" s="13" t="s">
        <v>22</v>
      </c>
      <c r="C5" s="17">
        <v>300</v>
      </c>
      <c r="D5" s="111">
        <v>42507</v>
      </c>
      <c r="F5" s="55"/>
      <c r="G5" s="66" t="s">
        <v>56</v>
      </c>
      <c r="H5" s="66" t="s">
        <v>57</v>
      </c>
      <c r="I5" s="66" t="s">
        <v>58</v>
      </c>
    </row>
    <row r="6" spans="1:10">
      <c r="A6" s="115" t="s">
        <v>94</v>
      </c>
      <c r="B6" s="13" t="s">
        <v>24</v>
      </c>
      <c r="C6" s="17">
        <v>300</v>
      </c>
      <c r="D6" s="111">
        <v>41655</v>
      </c>
      <c r="F6" s="60" t="s">
        <v>59</v>
      </c>
      <c r="G6" s="61">
        <f>H6*12</f>
        <v>180639.22631039997</v>
      </c>
      <c r="H6" s="61">
        <f>4252*1.15*1.15*1.2*1.1*1.3*1.2*1.3</f>
        <v>15053.268859199998</v>
      </c>
      <c r="I6" s="65">
        <f>H6/30</f>
        <v>501.77562863999992</v>
      </c>
    </row>
    <row r="7" spans="1:10">
      <c r="A7" s="16" t="s">
        <v>3</v>
      </c>
      <c r="B7" s="13" t="s">
        <v>22</v>
      </c>
      <c r="C7" s="17">
        <v>1884</v>
      </c>
      <c r="D7" s="111">
        <v>42314</v>
      </c>
      <c r="F7" s="55"/>
      <c r="G7" s="56"/>
      <c r="H7" s="58"/>
      <c r="I7" s="57"/>
    </row>
    <row r="8" spans="1:10">
      <c r="A8" s="16" t="s">
        <v>4</v>
      </c>
      <c r="B8" s="13" t="s">
        <v>22</v>
      </c>
      <c r="C8" s="17">
        <v>300</v>
      </c>
      <c r="D8" s="111">
        <v>42509</v>
      </c>
      <c r="E8" s="158" t="s">
        <v>172</v>
      </c>
      <c r="F8" s="60" t="s">
        <v>60</v>
      </c>
      <c r="G8" s="61">
        <f>15*I6</f>
        <v>7526.6344295999988</v>
      </c>
      <c r="H8" s="61">
        <f>G8/12</f>
        <v>627.2195357999999</v>
      </c>
      <c r="I8" s="218">
        <f>H8/30</f>
        <v>20.907317859999996</v>
      </c>
    </row>
    <row r="9" spans="1:10">
      <c r="A9" s="146" t="s">
        <v>100</v>
      </c>
      <c r="B9" s="13" t="s">
        <v>0</v>
      </c>
      <c r="C9" s="17">
        <v>49.84</v>
      </c>
      <c r="D9" s="111">
        <v>42386</v>
      </c>
      <c r="E9" s="2" t="s">
        <v>146</v>
      </c>
      <c r="F9" s="60" t="s">
        <v>61</v>
      </c>
      <c r="G9" s="61">
        <f>21*I6</f>
        <v>10537.288201439998</v>
      </c>
      <c r="H9" s="61">
        <f>G9/12</f>
        <v>878.10735011999986</v>
      </c>
      <c r="I9" s="218">
        <f t="shared" ref="I9:I12" si="0">H9/30</f>
        <v>29.270245003999996</v>
      </c>
    </row>
    <row r="10" spans="1:10">
      <c r="A10" s="16" t="s">
        <v>5</v>
      </c>
      <c r="B10" s="13" t="s">
        <v>22</v>
      </c>
      <c r="C10" s="17">
        <v>1150</v>
      </c>
      <c r="D10" s="111">
        <v>42509</v>
      </c>
      <c r="F10" s="60" t="s">
        <v>62</v>
      </c>
      <c r="G10" s="61">
        <f>30*I6</f>
        <v>15053.268859199998</v>
      </c>
      <c r="H10" s="61">
        <f>G10/12</f>
        <v>1254.4390715999998</v>
      </c>
      <c r="I10" s="218">
        <f t="shared" si="0"/>
        <v>41.814635719999991</v>
      </c>
    </row>
    <row r="11" spans="1:10">
      <c r="A11" s="16" t="s">
        <v>6</v>
      </c>
      <c r="B11" s="13" t="s">
        <v>22</v>
      </c>
      <c r="C11" s="17">
        <v>500</v>
      </c>
      <c r="D11" s="111">
        <v>42509</v>
      </c>
      <c r="F11" s="60" t="s">
        <v>167</v>
      </c>
      <c r="G11" s="61">
        <f>H11*12</f>
        <v>223020</v>
      </c>
      <c r="H11" s="61">
        <f>(3.5*G19)*30</f>
        <v>18585</v>
      </c>
      <c r="I11" s="218">
        <f t="shared" si="0"/>
        <v>619.5</v>
      </c>
    </row>
    <row r="12" spans="1:10">
      <c r="A12" s="16" t="s">
        <v>150</v>
      </c>
      <c r="B12" s="13" t="s">
        <v>22</v>
      </c>
      <c r="C12" s="17">
        <v>300</v>
      </c>
      <c r="D12" s="111">
        <v>42507</v>
      </c>
      <c r="F12" s="60" t="s">
        <v>63</v>
      </c>
      <c r="G12" s="61">
        <f>5*I6</f>
        <v>2508.8781431999996</v>
      </c>
      <c r="H12" s="61">
        <f>G12/12</f>
        <v>209.07317859999998</v>
      </c>
      <c r="I12" s="218">
        <f t="shared" si="0"/>
        <v>6.9691059533333322</v>
      </c>
    </row>
    <row r="13" spans="1:10">
      <c r="A13" s="16" t="s">
        <v>108</v>
      </c>
      <c r="B13" s="13" t="s">
        <v>77</v>
      </c>
      <c r="C13" s="17">
        <f>1650*4/1000</f>
        <v>6.6</v>
      </c>
      <c r="D13" s="111">
        <v>42018</v>
      </c>
      <c r="E13" s="158"/>
      <c r="F13" s="55"/>
      <c r="G13" s="56"/>
      <c r="H13" s="56"/>
      <c r="I13" s="57"/>
    </row>
    <row r="14" spans="1:10">
      <c r="A14" s="115" t="s">
        <v>102</v>
      </c>
      <c r="B14" s="13" t="s">
        <v>0</v>
      </c>
      <c r="C14" s="17"/>
      <c r="D14" s="111"/>
      <c r="F14" s="62" t="s">
        <v>64</v>
      </c>
      <c r="G14" s="63">
        <f>SUM(G6:G12)</f>
        <v>439285.29594384</v>
      </c>
      <c r="H14" s="63">
        <f>SUM(H6:H12)</f>
        <v>36607.107995320002</v>
      </c>
      <c r="I14" s="64">
        <f>H14/20</f>
        <v>1830.3553997660001</v>
      </c>
      <c r="J14" s="2" t="s">
        <v>176</v>
      </c>
    </row>
    <row r="15" spans="1:10">
      <c r="A15" s="16" t="s">
        <v>7</v>
      </c>
      <c r="B15" s="13" t="s">
        <v>22</v>
      </c>
      <c r="C15" s="17">
        <v>300</v>
      </c>
      <c r="D15" s="111">
        <v>42507</v>
      </c>
      <c r="F15" s="220" t="s">
        <v>65</v>
      </c>
      <c r="G15" s="221"/>
      <c r="H15" s="221"/>
      <c r="I15" s="222"/>
      <c r="J15" s="2" t="s">
        <v>177</v>
      </c>
    </row>
    <row r="16" spans="1:10" s="2" customFormat="1">
      <c r="A16" s="16" t="s">
        <v>147</v>
      </c>
      <c r="B16" s="13" t="s">
        <v>77</v>
      </c>
      <c r="C16" s="79">
        <v>0.78</v>
      </c>
      <c r="D16" s="111">
        <v>42067</v>
      </c>
      <c r="F16" s="59" t="s">
        <v>66</v>
      </c>
      <c r="G16" s="148"/>
      <c r="H16" s="148"/>
      <c r="I16" s="149"/>
    </row>
    <row r="17" spans="1:10" s="2" customFormat="1">
      <c r="A17" s="115" t="s">
        <v>98</v>
      </c>
      <c r="B17" s="13" t="s">
        <v>24</v>
      </c>
      <c r="C17" s="23">
        <v>12.92</v>
      </c>
      <c r="D17" s="111">
        <v>41667</v>
      </c>
      <c r="F17" s="223" t="s">
        <v>67</v>
      </c>
      <c r="G17" s="224"/>
      <c r="H17" s="224"/>
      <c r="I17" s="225"/>
    </row>
    <row r="18" spans="1:10">
      <c r="A18" s="146" t="s">
        <v>99</v>
      </c>
      <c r="B18" s="13" t="s">
        <v>24</v>
      </c>
      <c r="C18" s="79">
        <v>32.06</v>
      </c>
      <c r="D18" s="111">
        <v>41666</v>
      </c>
      <c r="F18" s="223" t="s">
        <v>68</v>
      </c>
      <c r="G18" s="224"/>
      <c r="H18" s="224"/>
      <c r="I18" s="225"/>
    </row>
    <row r="19" spans="1:10" s="2" customFormat="1">
      <c r="A19" s="16" t="s">
        <v>8</v>
      </c>
      <c r="B19" s="13" t="s">
        <v>22</v>
      </c>
      <c r="C19" s="17">
        <v>310.33999999999997</v>
      </c>
      <c r="D19" s="111">
        <v>42390</v>
      </c>
      <c r="F19" s="155" t="s">
        <v>106</v>
      </c>
      <c r="G19" s="156">
        <v>177</v>
      </c>
      <c r="H19" s="150"/>
      <c r="I19" s="151"/>
    </row>
    <row r="20" spans="1:10" s="2" customFormat="1" ht="15.75" thickBot="1">
      <c r="A20" s="19" t="s">
        <v>27</v>
      </c>
      <c r="B20" s="13" t="s">
        <v>33</v>
      </c>
      <c r="C20" s="17"/>
      <c r="D20" s="111"/>
      <c r="F20"/>
      <c r="G20"/>
      <c r="H20"/>
      <c r="I20"/>
    </row>
    <row r="21" spans="1:10" ht="15.75" thickTop="1">
      <c r="A21" s="16" t="s">
        <v>171</v>
      </c>
      <c r="B21" s="13" t="s">
        <v>77</v>
      </c>
      <c r="C21" s="17">
        <v>20</v>
      </c>
      <c r="D21" s="111">
        <v>42508</v>
      </c>
      <c r="F21" s="226" t="s">
        <v>152</v>
      </c>
      <c r="G21" s="226"/>
      <c r="H21" s="226"/>
      <c r="I21" s="2"/>
    </row>
    <row r="22" spans="1:10">
      <c r="A22" s="115" t="s">
        <v>101</v>
      </c>
      <c r="B22" s="116" t="s">
        <v>0</v>
      </c>
      <c r="C22" s="117"/>
      <c r="D22" s="118"/>
      <c r="F22" s="68" t="s">
        <v>153</v>
      </c>
      <c r="G22" s="67" t="s">
        <v>154</v>
      </c>
      <c r="H22" s="69">
        <v>65</v>
      </c>
    </row>
    <row r="23" spans="1:10" s="2" customFormat="1">
      <c r="A23" s="146" t="s">
        <v>137</v>
      </c>
      <c r="B23" s="116" t="s">
        <v>0</v>
      </c>
      <c r="C23" s="117">
        <v>10</v>
      </c>
      <c r="D23" s="118"/>
      <c r="F23" s="68" t="s">
        <v>69</v>
      </c>
      <c r="G23" s="67" t="s">
        <v>70</v>
      </c>
      <c r="H23" s="69">
        <v>6000</v>
      </c>
      <c r="I23"/>
    </row>
    <row r="24" spans="1:10">
      <c r="A24" s="146" t="s">
        <v>139</v>
      </c>
      <c r="B24" s="116" t="s">
        <v>0</v>
      </c>
      <c r="C24" s="117">
        <v>10</v>
      </c>
      <c r="D24" s="118"/>
      <c r="E24" s="158"/>
      <c r="F24" s="70" t="s">
        <v>155</v>
      </c>
      <c r="G24" s="212" t="s">
        <v>156</v>
      </c>
      <c r="H24" s="71">
        <f>H23/H22</f>
        <v>92.307692307692307</v>
      </c>
      <c r="I24" s="2"/>
    </row>
    <row r="25" spans="1:10">
      <c r="A25" s="16" t="s">
        <v>44</v>
      </c>
      <c r="B25" s="13" t="s">
        <v>0</v>
      </c>
      <c r="C25" s="78">
        <v>29.25</v>
      </c>
      <c r="D25" s="111">
        <v>42418</v>
      </c>
      <c r="I25" s="2"/>
    </row>
    <row r="26" spans="1:10" s="2" customFormat="1">
      <c r="A26" s="16" t="s">
        <v>45</v>
      </c>
      <c r="B26" s="13" t="s">
        <v>0</v>
      </c>
      <c r="C26" s="23">
        <v>14.8</v>
      </c>
      <c r="D26" s="111">
        <v>41876</v>
      </c>
      <c r="F26" s="84" t="s">
        <v>82</v>
      </c>
      <c r="G26" s="85" t="s">
        <v>81</v>
      </c>
      <c r="H26" s="85" t="s">
        <v>80</v>
      </c>
      <c r="I26" s="85" t="s">
        <v>36</v>
      </c>
    </row>
    <row r="27" spans="1:10">
      <c r="A27" s="16" t="s">
        <v>46</v>
      </c>
      <c r="B27" s="13" t="s">
        <v>0</v>
      </c>
      <c r="C27" s="79">
        <v>14.8</v>
      </c>
      <c r="D27" s="111">
        <v>42418</v>
      </c>
      <c r="F27" s="4" t="s">
        <v>78</v>
      </c>
      <c r="G27" s="82">
        <v>100</v>
      </c>
      <c r="H27" s="82">
        <f>43*1.08</f>
        <v>46.440000000000005</v>
      </c>
      <c r="I27" s="6">
        <f>G27*H27</f>
        <v>4644.0000000000009</v>
      </c>
    </row>
    <row r="28" spans="1:10">
      <c r="A28" s="16" t="s">
        <v>140</v>
      </c>
      <c r="B28" s="13" t="s">
        <v>0</v>
      </c>
      <c r="C28" s="79">
        <v>0.5</v>
      </c>
      <c r="D28" s="111"/>
      <c r="E28" s="158" t="s">
        <v>117</v>
      </c>
      <c r="F28" s="4" t="s">
        <v>79</v>
      </c>
      <c r="G28" s="82">
        <v>21.116</v>
      </c>
      <c r="H28" s="83">
        <f>I27/G28</f>
        <v>219.92801666982388</v>
      </c>
      <c r="I28" s="6"/>
    </row>
    <row r="29" spans="1:10">
      <c r="A29" s="16" t="s">
        <v>141</v>
      </c>
      <c r="B29" s="13" t="s">
        <v>0</v>
      </c>
      <c r="C29" s="79">
        <v>0.5</v>
      </c>
      <c r="D29" s="111"/>
      <c r="E29" s="158" t="s">
        <v>117</v>
      </c>
    </row>
    <row r="30" spans="1:10" ht="15" customHeight="1">
      <c r="A30" s="16" t="s">
        <v>142</v>
      </c>
      <c r="B30" s="13" t="s">
        <v>0</v>
      </c>
      <c r="C30" s="78">
        <v>0.5</v>
      </c>
      <c r="D30" s="111">
        <v>41876</v>
      </c>
      <c r="E30" s="158" t="s">
        <v>117</v>
      </c>
      <c r="J30" s="144"/>
    </row>
    <row r="31" spans="1:10" s="2" customFormat="1" ht="15" customHeight="1">
      <c r="A31" s="16" t="s">
        <v>143</v>
      </c>
      <c r="B31" s="13" t="s">
        <v>0</v>
      </c>
      <c r="C31" s="78">
        <v>0.5</v>
      </c>
      <c r="D31" s="111">
        <v>41876</v>
      </c>
      <c r="E31" s="158" t="s">
        <v>117</v>
      </c>
      <c r="F31" s="231" t="s">
        <v>124</v>
      </c>
      <c r="G31" s="231"/>
      <c r="H31" s="231"/>
      <c r="I31" s="231"/>
      <c r="J31" s="144"/>
    </row>
    <row r="32" spans="1:10" ht="15" customHeight="1">
      <c r="A32" s="16" t="s">
        <v>144</v>
      </c>
      <c r="B32" s="13" t="s">
        <v>0</v>
      </c>
      <c r="C32" s="78">
        <v>0.5</v>
      </c>
      <c r="D32" s="111"/>
      <c r="F32" s="229" t="s">
        <v>125</v>
      </c>
      <c r="G32" s="228" t="s">
        <v>126</v>
      </c>
      <c r="H32" s="227" t="s">
        <v>127</v>
      </c>
      <c r="I32" s="230" t="s">
        <v>114</v>
      </c>
      <c r="J32" s="144"/>
    </row>
    <row r="33" spans="1:10" ht="15" customHeight="1">
      <c r="A33" s="115" t="s">
        <v>96</v>
      </c>
      <c r="B33" s="13" t="s">
        <v>97</v>
      </c>
      <c r="C33" s="23">
        <v>1.63</v>
      </c>
      <c r="D33" s="111">
        <v>41667</v>
      </c>
      <c r="E33" s="188" t="s">
        <v>132</v>
      </c>
      <c r="F33" s="229"/>
      <c r="G33" s="228"/>
      <c r="H33" s="227"/>
      <c r="I33" s="230"/>
      <c r="J33" s="144"/>
    </row>
    <row r="34" spans="1:10" ht="15" customHeight="1">
      <c r="A34" s="146" t="s">
        <v>133</v>
      </c>
      <c r="B34" s="13" t="s">
        <v>0</v>
      </c>
      <c r="C34" s="79">
        <v>50.65</v>
      </c>
      <c r="D34" s="111">
        <v>42037</v>
      </c>
      <c r="E34" s="188" t="s">
        <v>132</v>
      </c>
      <c r="F34" s="179" t="s">
        <v>118</v>
      </c>
      <c r="G34" s="183">
        <v>18928</v>
      </c>
      <c r="H34" s="183">
        <f>IFERROR(G34/G$43,0)</f>
        <v>7.0997749437359339</v>
      </c>
      <c r="I34" s="181">
        <v>42418</v>
      </c>
      <c r="J34" s="144"/>
    </row>
    <row r="35" spans="1:10" ht="15" customHeight="1">
      <c r="A35" s="146" t="s">
        <v>134</v>
      </c>
      <c r="B35" s="13" t="s">
        <v>0</v>
      </c>
      <c r="C35" s="79">
        <v>15</v>
      </c>
      <c r="D35" s="111">
        <v>42037</v>
      </c>
      <c r="F35" s="180" t="s">
        <v>119</v>
      </c>
      <c r="G35" s="183">
        <v>15000</v>
      </c>
      <c r="H35" s="183">
        <f t="shared" ref="H35:H40" si="1">IFERROR(G35/G$43,0)</f>
        <v>5.6264066016504124</v>
      </c>
      <c r="I35" s="181">
        <v>42491</v>
      </c>
      <c r="J35" s="144"/>
    </row>
    <row r="36" spans="1:10" ht="15" customHeight="1">
      <c r="A36" s="19" t="s">
        <v>28</v>
      </c>
      <c r="B36" s="13" t="s">
        <v>0</v>
      </c>
      <c r="C36" s="17">
        <v>57.41</v>
      </c>
      <c r="D36" s="111">
        <v>42422</v>
      </c>
      <c r="F36" s="180" t="s">
        <v>120</v>
      </c>
      <c r="G36" s="183">
        <v>60000</v>
      </c>
      <c r="H36" s="183">
        <f t="shared" si="1"/>
        <v>22.50562640660165</v>
      </c>
      <c r="I36" s="181">
        <v>42418</v>
      </c>
      <c r="J36" s="144"/>
    </row>
    <row r="37" spans="1:10" ht="15" customHeight="1">
      <c r="A37" s="19" t="s">
        <v>109</v>
      </c>
      <c r="B37" s="159" t="s">
        <v>0</v>
      </c>
      <c r="C37" s="79">
        <v>17.239999999999998</v>
      </c>
      <c r="D37" s="111"/>
      <c r="F37" s="180" t="s">
        <v>121</v>
      </c>
      <c r="G37" s="183">
        <v>10000</v>
      </c>
      <c r="H37" s="183">
        <f t="shared" si="1"/>
        <v>3.7509377344336086</v>
      </c>
      <c r="I37" s="181">
        <v>42419</v>
      </c>
      <c r="J37" s="87"/>
    </row>
    <row r="38" spans="1:10" ht="15" customHeight="1">
      <c r="A38" s="16" t="s">
        <v>29</v>
      </c>
      <c r="B38" s="13" t="s">
        <v>0</v>
      </c>
      <c r="C38" s="79">
        <f>18740.76/(300*12)</f>
        <v>5.2057666666666664</v>
      </c>
      <c r="D38" s="111"/>
      <c r="F38" s="180" t="s">
        <v>122</v>
      </c>
      <c r="G38" s="183">
        <f>20000/12</f>
        <v>1666.6666666666667</v>
      </c>
      <c r="H38" s="183">
        <f t="shared" si="1"/>
        <v>0.62515628907226806</v>
      </c>
      <c r="I38" s="181">
        <v>42418</v>
      </c>
      <c r="J38" s="87"/>
    </row>
    <row r="39" spans="1:10" ht="15" customHeight="1">
      <c r="A39" s="16" t="s">
        <v>49</v>
      </c>
      <c r="B39" s="13" t="s">
        <v>0</v>
      </c>
      <c r="C39" s="79">
        <v>32.03</v>
      </c>
      <c r="D39" s="111">
        <v>42422</v>
      </c>
      <c r="F39" s="180" t="s">
        <v>123</v>
      </c>
      <c r="G39" s="183">
        <v>600</v>
      </c>
      <c r="H39" s="183">
        <f t="shared" si="1"/>
        <v>0.2250562640660165</v>
      </c>
      <c r="I39" s="181">
        <v>42005</v>
      </c>
      <c r="J39" s="87"/>
    </row>
    <row r="40" spans="1:10" ht="15" customHeight="1">
      <c r="A40" s="16" t="s">
        <v>159</v>
      </c>
      <c r="B40" s="13" t="s">
        <v>22</v>
      </c>
      <c r="C40" s="79">
        <v>119.63</v>
      </c>
      <c r="D40" s="111">
        <v>42276</v>
      </c>
      <c r="F40" s="180" t="s">
        <v>128</v>
      </c>
      <c r="G40" s="183">
        <v>15051.16</v>
      </c>
      <c r="H40" s="183">
        <f t="shared" si="1"/>
        <v>5.6455963990997748</v>
      </c>
      <c r="I40" s="181">
        <v>42491</v>
      </c>
      <c r="J40" s="87"/>
    </row>
    <row r="41" spans="1:10" ht="15" customHeight="1">
      <c r="A41" s="16" t="str">
        <f>F24</f>
        <v>GAS (COSTO 1% DE CONSUMO)</v>
      </c>
      <c r="B41" s="13" t="str">
        <f>G24</f>
        <v>1%</v>
      </c>
      <c r="C41" s="17">
        <f>H24</f>
        <v>92.307692307692307</v>
      </c>
      <c r="D41" s="111"/>
      <c r="F41" s="184" t="s">
        <v>131</v>
      </c>
      <c r="G41" s="185">
        <f>SUM(G34:G40)</f>
        <v>121245.82666666668</v>
      </c>
      <c r="H41" s="185">
        <f>SUM(H34:H40)</f>
        <v>45.478554638659659</v>
      </c>
      <c r="I41" s="178"/>
      <c r="J41" s="87"/>
    </row>
    <row r="42" spans="1:10" ht="15" customHeight="1">
      <c r="A42" s="16" t="s">
        <v>9</v>
      </c>
      <c r="B42" s="13" t="s">
        <v>23</v>
      </c>
      <c r="C42" s="17">
        <v>16</v>
      </c>
      <c r="D42" s="111"/>
      <c r="F42" s="182" t="s">
        <v>129</v>
      </c>
      <c r="G42" s="187">
        <v>42400</v>
      </c>
      <c r="H42" s="175"/>
      <c r="I42" s="178"/>
    </row>
    <row r="43" spans="1:10" ht="15" customHeight="1">
      <c r="A43" s="16" t="s">
        <v>116</v>
      </c>
      <c r="B43" s="86" t="s">
        <v>115</v>
      </c>
      <c r="C43" s="17">
        <v>335.63</v>
      </c>
      <c r="D43" s="111">
        <v>42009</v>
      </c>
      <c r="F43" s="182" t="s">
        <v>130</v>
      </c>
      <c r="G43" s="186">
        <v>2666</v>
      </c>
      <c r="H43" s="175"/>
      <c r="I43" s="178"/>
    </row>
    <row r="44" spans="1:10">
      <c r="A44" s="16" t="s">
        <v>71</v>
      </c>
      <c r="B44" s="13" t="s">
        <v>22</v>
      </c>
      <c r="C44" s="79">
        <v>236.28</v>
      </c>
      <c r="D44" s="111">
        <v>42480</v>
      </c>
      <c r="F44" s="175"/>
      <c r="G44" s="176"/>
      <c r="H44" s="176"/>
      <c r="I44" s="177"/>
    </row>
    <row r="45" spans="1:10">
      <c r="A45" s="16" t="s">
        <v>136</v>
      </c>
      <c r="B45" s="13" t="s">
        <v>22</v>
      </c>
      <c r="C45" s="79">
        <v>15</v>
      </c>
      <c r="D45" s="111"/>
      <c r="E45" s="158"/>
      <c r="F45" s="175"/>
      <c r="G45" s="176"/>
      <c r="H45" s="176"/>
      <c r="I45" s="177"/>
    </row>
    <row r="46" spans="1:10">
      <c r="A46" s="147" t="s">
        <v>103</v>
      </c>
      <c r="B46" s="13" t="s">
        <v>105</v>
      </c>
      <c r="C46" s="79"/>
      <c r="D46" s="111"/>
      <c r="F46" s="176"/>
      <c r="G46" s="176"/>
      <c r="H46" s="176"/>
      <c r="I46" s="177"/>
    </row>
    <row r="47" spans="1:10">
      <c r="A47" s="147" t="s">
        <v>104</v>
      </c>
      <c r="B47" s="13" t="s">
        <v>105</v>
      </c>
      <c r="C47" s="79"/>
      <c r="D47" s="111"/>
      <c r="F47" s="176"/>
      <c r="G47" s="176"/>
      <c r="H47" s="176"/>
      <c r="I47" s="177"/>
    </row>
    <row r="48" spans="1:10">
      <c r="A48" s="16" t="s">
        <v>10</v>
      </c>
      <c r="B48" s="13" t="s">
        <v>22</v>
      </c>
      <c r="C48" s="17">
        <v>150</v>
      </c>
      <c r="D48" s="111">
        <v>42509</v>
      </c>
      <c r="E48" s="158" t="s">
        <v>172</v>
      </c>
      <c r="F48" s="176"/>
      <c r="G48" s="176"/>
      <c r="H48" s="176"/>
      <c r="I48" s="177"/>
    </row>
    <row r="49" spans="1:9" s="2" customFormat="1">
      <c r="A49" s="16" t="s">
        <v>11</v>
      </c>
      <c r="B49" s="13" t="s">
        <v>22</v>
      </c>
      <c r="C49" s="17">
        <f>45.3/0.91</f>
        <v>49.780219780219774</v>
      </c>
      <c r="D49" s="111"/>
      <c r="F49" s="176"/>
      <c r="G49" s="176"/>
      <c r="H49" s="176"/>
      <c r="I49" s="177"/>
    </row>
    <row r="50" spans="1:9">
      <c r="A50" s="16" t="s">
        <v>149</v>
      </c>
      <c r="B50" s="13" t="s">
        <v>22</v>
      </c>
      <c r="C50" s="17">
        <v>650</v>
      </c>
      <c r="D50" s="111">
        <v>42473</v>
      </c>
      <c r="F50" s="176"/>
      <c r="G50" s="176"/>
      <c r="H50" s="176"/>
      <c r="I50" s="177"/>
    </row>
    <row r="51" spans="1:9">
      <c r="A51" s="16" t="s">
        <v>12</v>
      </c>
      <c r="B51" s="13" t="s">
        <v>22</v>
      </c>
      <c r="C51" s="117">
        <v>318.58</v>
      </c>
      <c r="D51" s="111">
        <v>42431</v>
      </c>
      <c r="F51" s="176"/>
      <c r="G51" s="176"/>
      <c r="H51" s="176"/>
      <c r="I51" s="177"/>
    </row>
    <row r="52" spans="1:9">
      <c r="A52" s="16" t="s">
        <v>13</v>
      </c>
      <c r="B52" s="13" t="s">
        <v>22</v>
      </c>
      <c r="C52" s="79">
        <v>800</v>
      </c>
      <c r="D52" s="111">
        <v>42486</v>
      </c>
      <c r="E52" s="206"/>
      <c r="F52" s="176"/>
      <c r="G52" s="176"/>
      <c r="H52" s="176"/>
      <c r="I52" s="177"/>
    </row>
    <row r="53" spans="1:9">
      <c r="A53" s="16" t="s">
        <v>14</v>
      </c>
      <c r="B53" s="13" t="s">
        <v>22</v>
      </c>
      <c r="C53" s="17">
        <v>300</v>
      </c>
      <c r="D53" s="111">
        <v>42514</v>
      </c>
      <c r="F53" s="176"/>
      <c r="G53" s="176"/>
      <c r="H53" s="176"/>
      <c r="I53" s="177"/>
    </row>
    <row r="54" spans="1:9">
      <c r="A54" s="16" t="s">
        <v>15</v>
      </c>
      <c r="B54" s="13" t="s">
        <v>22</v>
      </c>
      <c r="C54" s="17">
        <v>10</v>
      </c>
      <c r="D54" s="111"/>
      <c r="F54" s="176"/>
      <c r="G54" s="176"/>
      <c r="H54" s="176"/>
      <c r="I54" s="177"/>
    </row>
    <row r="55" spans="1:9">
      <c r="A55" s="16" t="s">
        <v>16</v>
      </c>
      <c r="B55" s="13" t="s">
        <v>22</v>
      </c>
      <c r="C55" s="17">
        <v>2678.57</v>
      </c>
      <c r="D55" s="111">
        <v>42440</v>
      </c>
      <c r="F55" s="176"/>
      <c r="G55" s="176"/>
      <c r="H55" s="176"/>
      <c r="I55" s="177"/>
    </row>
    <row r="56" spans="1:9">
      <c r="A56" s="16" t="s">
        <v>17</v>
      </c>
      <c r="B56" s="13" t="s">
        <v>84</v>
      </c>
      <c r="C56" s="22">
        <v>0.2</v>
      </c>
      <c r="D56" s="111"/>
      <c r="F56" s="176"/>
      <c r="G56" s="176"/>
      <c r="H56" s="176"/>
      <c r="I56" s="177"/>
    </row>
    <row r="57" spans="1:9">
      <c r="A57" s="16" t="s">
        <v>74</v>
      </c>
      <c r="B57" s="13" t="s">
        <v>0</v>
      </c>
      <c r="C57" s="78">
        <f>95+6.52</f>
        <v>101.52</v>
      </c>
      <c r="D57" s="111">
        <v>42510</v>
      </c>
      <c r="E57" s="158" t="s">
        <v>173</v>
      </c>
      <c r="F57" s="176"/>
      <c r="G57" s="176"/>
      <c r="H57" s="176"/>
      <c r="I57" s="177"/>
    </row>
    <row r="58" spans="1:9">
      <c r="A58" s="16" t="s">
        <v>72</v>
      </c>
      <c r="B58" s="13" t="s">
        <v>0</v>
      </c>
      <c r="C58" s="78"/>
      <c r="D58" s="111"/>
      <c r="F58" s="176"/>
      <c r="G58" s="176"/>
      <c r="H58" s="176"/>
      <c r="I58" s="177"/>
    </row>
    <row r="59" spans="1:9">
      <c r="A59" s="16" t="s">
        <v>73</v>
      </c>
      <c r="B59" s="13" t="s">
        <v>0</v>
      </c>
      <c r="C59" s="78">
        <f>1601.34*1.12/1000</f>
        <v>1.7935008000000001</v>
      </c>
      <c r="D59" s="111"/>
      <c r="F59" s="176"/>
      <c r="G59" s="176"/>
      <c r="H59" s="176"/>
      <c r="I59" s="177"/>
    </row>
    <row r="60" spans="1:9">
      <c r="A60" s="16" t="s">
        <v>75</v>
      </c>
      <c r="B60" s="13" t="s">
        <v>0</v>
      </c>
      <c r="C60" s="78"/>
      <c r="D60" s="111"/>
      <c r="F60" s="176"/>
      <c r="G60" s="176"/>
      <c r="H60" s="176"/>
      <c r="I60" s="177"/>
    </row>
    <row r="61" spans="1:9">
      <c r="A61" s="16" t="s">
        <v>76</v>
      </c>
      <c r="B61" s="13" t="s">
        <v>0</v>
      </c>
      <c r="C61" s="78">
        <v>9.35</v>
      </c>
      <c r="D61" s="111">
        <v>42458</v>
      </c>
      <c r="F61" s="176"/>
      <c r="H61" s="176"/>
      <c r="I61" s="177"/>
    </row>
    <row r="62" spans="1:9">
      <c r="A62" s="16" t="s">
        <v>18</v>
      </c>
      <c r="B62" s="13" t="s">
        <v>22</v>
      </c>
      <c r="C62" s="17">
        <f>H28</f>
        <v>219.92801666982388</v>
      </c>
      <c r="D62" s="111"/>
      <c r="F62" s="176"/>
      <c r="I62" s="177"/>
    </row>
    <row r="63" spans="1:9">
      <c r="A63" s="16" t="s">
        <v>19</v>
      </c>
      <c r="B63" s="13" t="s">
        <v>22</v>
      </c>
      <c r="C63" s="17">
        <v>360</v>
      </c>
      <c r="D63" s="111">
        <v>42509</v>
      </c>
      <c r="F63" s="176"/>
      <c r="I63" s="177"/>
    </row>
    <row r="64" spans="1:9">
      <c r="A64" s="16" t="s">
        <v>20</v>
      </c>
      <c r="B64" s="13" t="s">
        <v>24</v>
      </c>
      <c r="C64" s="17">
        <v>255.06</v>
      </c>
      <c r="D64" s="111">
        <v>42431</v>
      </c>
      <c r="F64" s="176"/>
      <c r="I64" s="177"/>
    </row>
    <row r="65" spans="1:9">
      <c r="A65" s="16" t="s">
        <v>21</v>
      </c>
      <c r="B65" s="13" t="s">
        <v>22</v>
      </c>
      <c r="C65" s="17">
        <v>650</v>
      </c>
      <c r="D65" s="111">
        <v>42507</v>
      </c>
      <c r="F65" s="176"/>
      <c r="I65" s="177"/>
    </row>
    <row r="66" spans="1:9">
      <c r="A66" s="16"/>
      <c r="B66" s="8"/>
      <c r="C66" s="17"/>
      <c r="D66" s="111"/>
      <c r="F66" s="176"/>
      <c r="I66" s="177"/>
    </row>
    <row r="67" spans="1:9">
      <c r="A67" s="20" t="s">
        <v>31</v>
      </c>
      <c r="B67" s="21" t="s">
        <v>32</v>
      </c>
      <c r="C67" s="18">
        <f>I14</f>
        <v>1830.3553997660001</v>
      </c>
      <c r="D67" s="112"/>
      <c r="F67" s="176"/>
      <c r="I67" s="177"/>
    </row>
    <row r="68" spans="1:9">
      <c r="F68" s="176"/>
      <c r="I68" s="177"/>
    </row>
    <row r="69" spans="1:9">
      <c r="F69" s="176"/>
      <c r="I69" s="177"/>
    </row>
    <row r="70" spans="1:9">
      <c r="F70" s="176"/>
      <c r="I70" s="177"/>
    </row>
    <row r="71" spans="1:9">
      <c r="F71" s="176"/>
    </row>
    <row r="72" spans="1:9">
      <c r="F72" s="176"/>
    </row>
    <row r="73" spans="1:9">
      <c r="F73" s="176"/>
    </row>
    <row r="74" spans="1:9">
      <c r="F74" s="176"/>
    </row>
    <row r="75" spans="1:9">
      <c r="F75" s="176"/>
    </row>
  </sheetData>
  <sortState ref="A2:C31">
    <sortCondition ref="A2"/>
  </sortState>
  <mergeCells count="10">
    <mergeCell ref="H32:H33"/>
    <mergeCell ref="G32:G33"/>
    <mergeCell ref="F32:F33"/>
    <mergeCell ref="I32:I33"/>
    <mergeCell ref="F31:I31"/>
    <mergeCell ref="F2:I2"/>
    <mergeCell ref="F15:I15"/>
    <mergeCell ref="F17:I17"/>
    <mergeCell ref="F18:I18"/>
    <mergeCell ref="F21:H21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7"/>
  <sheetViews>
    <sheetView zoomScaleNormal="75" workbookViewId="0">
      <selection activeCell="C6" sqref="C6"/>
    </sheetView>
  </sheetViews>
  <sheetFormatPr baseColWidth="10" defaultRowHeight="15"/>
  <cols>
    <col min="1" max="1" width="39.7109375" style="2" customWidth="1"/>
    <col min="2" max="4" width="11.42578125" style="2"/>
    <col min="5" max="5" width="12.5703125" style="2" customWidth="1"/>
    <col min="6" max="6" width="11.42578125" style="2"/>
    <col min="7" max="7" width="11.85546875" style="2" customWidth="1"/>
    <col min="8" max="16384" width="11.42578125" style="2"/>
  </cols>
  <sheetData>
    <row r="1" spans="1:8">
      <c r="A1" s="300" t="s">
        <v>111</v>
      </c>
      <c r="B1" s="238" t="s">
        <v>41</v>
      </c>
      <c r="C1" s="239"/>
      <c r="D1" s="246">
        <v>41858</v>
      </c>
      <c r="E1" s="247"/>
      <c r="F1" s="247"/>
      <c r="G1" s="247"/>
      <c r="H1" s="236" t="s">
        <v>43</v>
      </c>
    </row>
    <row r="2" spans="1:8">
      <c r="A2" s="301"/>
      <c r="B2" s="238" t="s">
        <v>42</v>
      </c>
      <c r="C2" s="239"/>
      <c r="D2" s="249" t="s">
        <v>112</v>
      </c>
      <c r="E2" s="250"/>
      <c r="F2" s="250"/>
      <c r="G2" s="250"/>
      <c r="H2" s="237"/>
    </row>
    <row r="3" spans="1:8">
      <c r="A3" s="302"/>
      <c r="B3" s="243" t="s">
        <v>37</v>
      </c>
      <c r="C3" s="244"/>
      <c r="D3" s="244"/>
      <c r="E3" s="245"/>
      <c r="F3" s="252">
        <v>238</v>
      </c>
      <c r="G3" s="252"/>
      <c r="H3" s="237"/>
    </row>
    <row r="4" spans="1:8">
      <c r="A4" s="282" t="s">
        <v>91</v>
      </c>
      <c r="B4" s="283"/>
      <c r="C4" s="284"/>
      <c r="D4" s="266" t="s">
        <v>85</v>
      </c>
      <c r="E4" s="255"/>
      <c r="F4" s="256" t="s">
        <v>86</v>
      </c>
      <c r="G4" s="257"/>
      <c r="H4" s="237"/>
    </row>
    <row r="5" spans="1:8">
      <c r="A5" s="100" t="str">
        <f>PARÁMETROS!A1</f>
        <v>MATERIA PRIMA E INSUMOS GAVCA</v>
      </c>
      <c r="B5" s="102" t="str">
        <f>PARÁMETROS!B1</f>
        <v>UNIDAD</v>
      </c>
      <c r="C5" s="101" t="str">
        <f>PARÁMETROS!C1</f>
        <v>COSTO</v>
      </c>
      <c r="D5" s="27" t="s">
        <v>35</v>
      </c>
      <c r="E5" s="27" t="s">
        <v>89</v>
      </c>
      <c r="F5" s="27" t="s">
        <v>35</v>
      </c>
      <c r="G5" s="26" t="s">
        <v>89</v>
      </c>
      <c r="H5" s="278"/>
    </row>
    <row r="6" spans="1:8">
      <c r="A6" s="2" t="str">
        <f>PARÁMETROS!A19</f>
        <v>DURAZNO</v>
      </c>
      <c r="B6" s="39" t="str">
        <f>PARÁMETROS!B19</f>
        <v>KILO</v>
      </c>
      <c r="C6" s="114">
        <f>PARÁMETROS!C19</f>
        <v>310.33999999999997</v>
      </c>
      <c r="D6" s="61">
        <v>41.9</v>
      </c>
      <c r="E6" s="72">
        <f>D6/F$3</f>
        <v>0.17605042016806721</v>
      </c>
      <c r="F6" s="9">
        <f>D6*C6</f>
        <v>13003.245999999999</v>
      </c>
      <c r="G6" s="32">
        <f>F6/F$3</f>
        <v>54.635487394957977</v>
      </c>
      <c r="H6" s="30">
        <f t="shared" ref="H6:H25" si="0">G6/G$25</f>
        <v>0.33259285192504057</v>
      </c>
    </row>
    <row r="7" spans="1:8">
      <c r="A7" s="2" t="str">
        <f>PARÁMETROS!A8</f>
        <v>AZÚCAR</v>
      </c>
      <c r="B7" s="8" t="str">
        <f>PARÁMETROS!B8</f>
        <v>KILO</v>
      </c>
      <c r="C7" s="88">
        <f>PARÁMETROS!C8</f>
        <v>300</v>
      </c>
      <c r="D7" s="61">
        <v>29.3</v>
      </c>
      <c r="E7" s="72">
        <f t="shared" ref="E7:E22" si="1">D7/F$3</f>
        <v>0.123109243697479</v>
      </c>
      <c r="F7" s="10">
        <f t="shared" ref="F7:F22" si="2">D7*C7</f>
        <v>8790</v>
      </c>
      <c r="G7" s="32">
        <f t="shared" ref="G7:G22" si="3">F7/F$3</f>
        <v>36.932773109243698</v>
      </c>
      <c r="H7" s="31">
        <f t="shared" si="0"/>
        <v>0.22482779826061175</v>
      </c>
    </row>
    <row r="8" spans="1:8">
      <c r="A8" s="2" t="str">
        <f>PARÁMETROS!A64</f>
        <v>VINAGRE</v>
      </c>
      <c r="B8" s="8" t="str">
        <f>PARÁMETROS!B64</f>
        <v>LITRO</v>
      </c>
      <c r="C8" s="88">
        <f>PARÁMETROS!C64</f>
        <v>255.06</v>
      </c>
      <c r="D8" s="61">
        <v>1</v>
      </c>
      <c r="E8" s="72">
        <f t="shared" si="1"/>
        <v>4.2016806722689074E-3</v>
      </c>
      <c r="F8" s="10">
        <f t="shared" si="2"/>
        <v>255.06</v>
      </c>
      <c r="G8" s="32">
        <f t="shared" si="3"/>
        <v>1.0716806722689076</v>
      </c>
      <c r="H8" s="31">
        <f t="shared" si="0"/>
        <v>6.5238428014051924E-3</v>
      </c>
    </row>
    <row r="9" spans="1:8">
      <c r="A9" s="2" t="str">
        <f>PARÁMETROS!A39</f>
        <v>FRASCO 200GR</v>
      </c>
      <c r="B9" s="8" t="str">
        <f>PARÁMETROS!B39</f>
        <v>UNIDAD</v>
      </c>
      <c r="C9" s="32">
        <f>PARÁMETROS!C39</f>
        <v>32.03</v>
      </c>
      <c r="D9" s="169">
        <f>F$3</f>
        <v>238</v>
      </c>
      <c r="E9" s="72">
        <f t="shared" si="1"/>
        <v>1</v>
      </c>
      <c r="F9" s="10">
        <f t="shared" si="2"/>
        <v>7623.14</v>
      </c>
      <c r="G9" s="32">
        <f t="shared" si="3"/>
        <v>32.03</v>
      </c>
      <c r="H9" s="31">
        <f t="shared" si="0"/>
        <v>0.19498222776250285</v>
      </c>
    </row>
    <row r="10" spans="1:8">
      <c r="A10" s="2" t="str">
        <f>PARÁMETROS!A27</f>
        <v>ETIQUETA FRASCO DE 200GR</v>
      </c>
      <c r="B10" s="8" t="str">
        <f>PARÁMETROS!B27</f>
        <v>UNIDAD</v>
      </c>
      <c r="C10" s="2">
        <f>PARÁMETROS!C27</f>
        <v>14.8</v>
      </c>
      <c r="D10" s="169">
        <f>F$3</f>
        <v>238</v>
      </c>
      <c r="E10" s="72">
        <f t="shared" si="1"/>
        <v>1</v>
      </c>
      <c r="F10" s="10">
        <f t="shared" si="2"/>
        <v>3522.4</v>
      </c>
      <c r="G10" s="32">
        <f t="shared" si="3"/>
        <v>14.8</v>
      </c>
      <c r="H10" s="31">
        <f t="shared" si="0"/>
        <v>9.0094816449735937E-2</v>
      </c>
    </row>
    <row r="11" spans="1:8">
      <c r="A11" s="2" t="str">
        <f>PARÁMETROS!A32</f>
        <v>PRESINTO TAPA DE 200GR</v>
      </c>
      <c r="B11" s="8" t="str">
        <f>PARÁMETROS!B32</f>
        <v>UNIDAD</v>
      </c>
      <c r="C11" s="2">
        <f>PARÁMETROS!C32</f>
        <v>0.5</v>
      </c>
      <c r="D11" s="169">
        <f>F$3</f>
        <v>238</v>
      </c>
      <c r="E11" s="72">
        <f t="shared" si="1"/>
        <v>1</v>
      </c>
      <c r="F11" s="10">
        <f t="shared" si="2"/>
        <v>119</v>
      </c>
      <c r="G11" s="32">
        <f t="shared" si="3"/>
        <v>0.5</v>
      </c>
      <c r="H11" s="31">
        <f t="shared" si="0"/>
        <v>3.0437437989775653E-3</v>
      </c>
    </row>
    <row r="12" spans="1:8">
      <c r="A12" s="2" t="str">
        <f>PARÁMETROS!A41</f>
        <v>GAS (COSTO 1% DE CONSUMO)</v>
      </c>
      <c r="B12" s="8" t="str">
        <f>PARÁMETROS!B41</f>
        <v>1%</v>
      </c>
      <c r="C12" s="88">
        <f>PARÁMETROS!C41</f>
        <v>92.307692307692307</v>
      </c>
      <c r="D12" s="61">
        <v>1</v>
      </c>
      <c r="E12" s="72">
        <f t="shared" si="1"/>
        <v>4.2016806722689074E-3</v>
      </c>
      <c r="F12" s="10">
        <f t="shared" si="2"/>
        <v>92.307692307692307</v>
      </c>
      <c r="G12" s="32">
        <f t="shared" si="3"/>
        <v>0.38784744667097609</v>
      </c>
      <c r="H12" s="31">
        <f t="shared" si="0"/>
        <v>2.361016521508131E-3</v>
      </c>
    </row>
    <row r="13" spans="1:8">
      <c r="A13" s="2" t="str">
        <f>PARÁMETROS!A20</f>
        <v>ELECTRICIDAD</v>
      </c>
      <c r="B13" s="8" t="str">
        <f>PARÁMETROS!B20</f>
        <v>KWH</v>
      </c>
      <c r="C13" s="88">
        <f>PARÁMETROS!C20</f>
        <v>0</v>
      </c>
      <c r="D13" s="61"/>
      <c r="E13" s="72">
        <f t="shared" si="1"/>
        <v>0</v>
      </c>
      <c r="F13" s="10">
        <f t="shared" si="2"/>
        <v>0</v>
      </c>
      <c r="G13" s="32">
        <f t="shared" si="3"/>
        <v>0</v>
      </c>
      <c r="H13" s="31">
        <f t="shared" si="0"/>
        <v>0</v>
      </c>
    </row>
    <row r="14" spans="1:8">
      <c r="A14" s="2" t="str">
        <f>PARÁMETROS!A4</f>
        <v>AGUA</v>
      </c>
      <c r="B14" s="8" t="str">
        <f>PARÁMETROS!B4</f>
        <v>UNITARIO E</v>
      </c>
      <c r="C14" s="88">
        <f>PARÁMETROS!C4</f>
        <v>0</v>
      </c>
      <c r="D14" s="61"/>
      <c r="E14" s="72">
        <f t="shared" si="1"/>
        <v>0</v>
      </c>
      <c r="F14" s="10">
        <f t="shared" si="2"/>
        <v>0</v>
      </c>
      <c r="G14" s="32">
        <f t="shared" si="3"/>
        <v>0</v>
      </c>
      <c r="H14" s="31">
        <f t="shared" si="0"/>
        <v>0</v>
      </c>
    </row>
    <row r="15" spans="1:8">
      <c r="A15" s="2" t="str">
        <f>PARÁMETROS!A43</f>
        <v>GUANTES DE LATEX RE-USABLES</v>
      </c>
      <c r="B15" s="8" t="str">
        <f>PARÁMETROS!B43</f>
        <v>PAR</v>
      </c>
      <c r="C15" s="14">
        <f>PARÁMETROS!C43</f>
        <v>335.63</v>
      </c>
      <c r="D15" s="61">
        <f>3/10</f>
        <v>0.3</v>
      </c>
      <c r="E15" s="72">
        <f t="shared" si="1"/>
        <v>1.2605042016806721E-3</v>
      </c>
      <c r="F15" s="10">
        <f t="shared" si="2"/>
        <v>100.68899999999999</v>
      </c>
      <c r="G15" s="32">
        <f t="shared" si="3"/>
        <v>0.42306302521008399</v>
      </c>
      <c r="H15" s="31">
        <f t="shared" si="0"/>
        <v>2.575390919119765E-3</v>
      </c>
    </row>
    <row r="16" spans="1:8">
      <c r="A16" s="2" t="str">
        <f>PARÁMETROS!A17</f>
        <v>DETERGENTE PARA PISOS</v>
      </c>
      <c r="B16" s="8" t="str">
        <f>PARÁMETROS!B17</f>
        <v>LITRO</v>
      </c>
      <c r="C16" s="88">
        <f>PARÁMETROS!C17</f>
        <v>12.92</v>
      </c>
      <c r="D16" s="61"/>
      <c r="E16" s="72">
        <f t="shared" si="1"/>
        <v>0</v>
      </c>
      <c r="F16" s="10">
        <f t="shared" si="2"/>
        <v>0</v>
      </c>
      <c r="G16" s="32">
        <f t="shared" si="3"/>
        <v>0</v>
      </c>
      <c r="H16" s="31">
        <f t="shared" si="0"/>
        <v>0</v>
      </c>
    </row>
    <row r="17" spans="1:8">
      <c r="A17" s="2" t="str">
        <f>PARÁMETROS!A18</f>
        <v>DETERGENTE PARA VAJILLAS</v>
      </c>
      <c r="B17" s="8" t="str">
        <f>PARÁMETROS!B18</f>
        <v>LITRO</v>
      </c>
      <c r="C17" s="88">
        <f>PARÁMETROS!C18</f>
        <v>32.06</v>
      </c>
      <c r="D17" s="61"/>
      <c r="E17" s="72">
        <f t="shared" si="1"/>
        <v>0</v>
      </c>
      <c r="F17" s="10">
        <f t="shared" si="2"/>
        <v>0</v>
      </c>
      <c r="G17" s="32">
        <f t="shared" si="3"/>
        <v>0</v>
      </c>
      <c r="H17" s="31">
        <f t="shared" si="0"/>
        <v>0</v>
      </c>
    </row>
    <row r="18" spans="1:8">
      <c r="A18" s="2" t="str">
        <f>PARÁMETROS!A6</f>
        <v>ALCOHOL</v>
      </c>
      <c r="B18" s="8" t="str">
        <f>PARÁMETROS!B6</f>
        <v>LITRO</v>
      </c>
      <c r="C18" s="88">
        <f>PARÁMETROS!C6</f>
        <v>300</v>
      </c>
      <c r="D18" s="61"/>
      <c r="E18" s="72">
        <f t="shared" si="1"/>
        <v>0</v>
      </c>
      <c r="F18" s="10">
        <f t="shared" si="2"/>
        <v>0</v>
      </c>
      <c r="G18" s="32">
        <f t="shared" si="3"/>
        <v>0</v>
      </c>
      <c r="H18" s="31">
        <f t="shared" si="0"/>
        <v>0</v>
      </c>
    </row>
    <row r="19" spans="1:8">
      <c r="A19" s="2" t="str">
        <f>PARÁMETROS!A22</f>
        <v>ESPONJA DE LIMPIEZA</v>
      </c>
      <c r="B19" s="8" t="str">
        <f>PARÁMETROS!B22</f>
        <v>UNIDAD</v>
      </c>
      <c r="C19" s="88">
        <f>PARÁMETROS!C22</f>
        <v>0</v>
      </c>
      <c r="D19" s="61"/>
      <c r="E19" s="72">
        <f t="shared" si="1"/>
        <v>0</v>
      </c>
      <c r="F19" s="10">
        <f t="shared" si="2"/>
        <v>0</v>
      </c>
      <c r="G19" s="32">
        <f t="shared" si="3"/>
        <v>0</v>
      </c>
      <c r="H19" s="31">
        <f t="shared" si="0"/>
        <v>0</v>
      </c>
    </row>
    <row r="20" spans="1:8">
      <c r="A20" s="2" t="str">
        <f>PARÁMETROS!A9</f>
        <v>BOLSA DE BASURA</v>
      </c>
      <c r="B20" s="8" t="str">
        <f>PARÁMETROS!B9</f>
        <v>UNIDAD</v>
      </c>
      <c r="C20" s="88">
        <f>PARÁMETROS!C9</f>
        <v>49.84</v>
      </c>
      <c r="D20" s="61">
        <v>2</v>
      </c>
      <c r="E20" s="72">
        <f t="shared" si="1"/>
        <v>8.4033613445378148E-3</v>
      </c>
      <c r="F20" s="10">
        <f t="shared" si="2"/>
        <v>99.68</v>
      </c>
      <c r="G20" s="32">
        <f t="shared" si="3"/>
        <v>0.41882352941176476</v>
      </c>
      <c r="H20" s="31">
        <f t="shared" si="0"/>
        <v>2.5495830410259138E-3</v>
      </c>
    </row>
    <row r="21" spans="1:8">
      <c r="A21" s="2" t="str">
        <f>PARÁMETROS!A14</f>
        <v>COLETO</v>
      </c>
      <c r="B21" s="8" t="str">
        <f>PARÁMETROS!B14</f>
        <v>UNIDAD</v>
      </c>
      <c r="C21" s="88">
        <f>PARÁMETROS!C14</f>
        <v>0</v>
      </c>
      <c r="D21" s="61"/>
      <c r="E21" s="72">
        <f t="shared" si="1"/>
        <v>0</v>
      </c>
      <c r="F21" s="10">
        <f t="shared" si="2"/>
        <v>0</v>
      </c>
      <c r="G21" s="32">
        <f t="shared" si="3"/>
        <v>0</v>
      </c>
      <c r="H21" s="31">
        <f t="shared" si="0"/>
        <v>0</v>
      </c>
    </row>
    <row r="22" spans="1:8">
      <c r="A22" s="2" t="str">
        <f>PARÁMETROS!A33</f>
        <v xml:space="preserve">FÓSFOROS </v>
      </c>
      <c r="B22" s="40" t="str">
        <f>PARÁMETROS!B33</f>
        <v>C.GRDE</v>
      </c>
      <c r="C22" s="143">
        <f>PARÁMETROS!C33</f>
        <v>1.63</v>
      </c>
      <c r="D22" s="61"/>
      <c r="E22" s="72">
        <f t="shared" si="1"/>
        <v>0</v>
      </c>
      <c r="F22" s="10">
        <f t="shared" si="2"/>
        <v>0</v>
      </c>
      <c r="G22" s="32">
        <f t="shared" si="3"/>
        <v>0</v>
      </c>
      <c r="H22" s="31">
        <f t="shared" si="0"/>
        <v>0</v>
      </c>
    </row>
    <row r="23" spans="1:8">
      <c r="A23" s="295" t="s">
        <v>38</v>
      </c>
      <c r="B23" s="296"/>
      <c r="C23" s="297"/>
      <c r="D23" s="297"/>
      <c r="E23" s="298"/>
      <c r="F23" s="51">
        <f>SUM(F6:F22)</f>
        <v>33605.522692307692</v>
      </c>
      <c r="G23" s="51">
        <f>SUM(G6:G22)</f>
        <v>141.19967517776342</v>
      </c>
      <c r="H23" s="52">
        <f t="shared" si="0"/>
        <v>0.85955127147992783</v>
      </c>
    </row>
    <row r="24" spans="1:8">
      <c r="A24" s="4" t="str">
        <f>PARÁMETROS!A67</f>
        <v>MANO DE OBRA</v>
      </c>
      <c r="B24" s="5" t="str">
        <f>PARÁMETROS!B67</f>
        <v xml:space="preserve">JORNAL </v>
      </c>
      <c r="C24" s="6">
        <f>PARÁMETROS!C67</f>
        <v>1830.3553997660001</v>
      </c>
      <c r="D24" s="61">
        <v>3</v>
      </c>
      <c r="E24" s="74">
        <f>D24/F3</f>
        <v>1.2605042016806723E-2</v>
      </c>
      <c r="F24" s="6">
        <f>D24*C24</f>
        <v>5491.0661992980004</v>
      </c>
      <c r="G24" s="6">
        <f>F24/F3</f>
        <v>23.071706719739499</v>
      </c>
      <c r="H24" s="49">
        <f t="shared" si="0"/>
        <v>0.14044872852007226</v>
      </c>
    </row>
    <row r="25" spans="1:8">
      <c r="A25" s="299" t="s">
        <v>39</v>
      </c>
      <c r="B25" s="299"/>
      <c r="C25" s="299"/>
      <c r="D25" s="299"/>
      <c r="E25" s="299"/>
      <c r="F25" s="51">
        <f>F23+F24</f>
        <v>39096.588891605694</v>
      </c>
      <c r="G25" s="51">
        <f>G23+G24</f>
        <v>164.27138189750292</v>
      </c>
      <c r="H25" s="52">
        <f t="shared" si="0"/>
        <v>1</v>
      </c>
    </row>
    <row r="27" spans="1:8">
      <c r="A27" s="5" t="s">
        <v>87</v>
      </c>
      <c r="B27" s="60"/>
    </row>
  </sheetData>
  <mergeCells count="13">
    <mergeCell ref="A23:E23"/>
    <mergeCell ref="A25:E25"/>
    <mergeCell ref="A1:A3"/>
    <mergeCell ref="B1:C1"/>
    <mergeCell ref="D1:G1"/>
    <mergeCell ref="H1:H5"/>
    <mergeCell ref="B2:C2"/>
    <mergeCell ref="D2:G2"/>
    <mergeCell ref="B3:E3"/>
    <mergeCell ref="F3:G3"/>
    <mergeCell ref="A4:C4"/>
    <mergeCell ref="D4:E4"/>
    <mergeCell ref="F4:G4"/>
  </mergeCells>
  <printOptions horizontalCentered="1" verticalCentered="1" gridLines="1"/>
  <pageMargins left="0.70866141732283472" right="0.70866141732283472" top="0.74803149606299213" bottom="0.74803149606299213" header="0.31496062992125984" footer="0.31496062992125984"/>
  <pageSetup scale="85" orientation="landscape" r:id="rId1"/>
  <headerFooter>
    <oddFooter>&amp;RMERMELADA DE DURAZNO DE 200GR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0"/>
  <sheetViews>
    <sheetView zoomScaleNormal="75" workbookViewId="0">
      <selection activeCell="E27" sqref="E27"/>
    </sheetView>
  </sheetViews>
  <sheetFormatPr baseColWidth="10" defaultRowHeight="15"/>
  <cols>
    <col min="1" max="1" width="49.42578125" bestFit="1" customWidth="1"/>
  </cols>
  <sheetData>
    <row r="1" spans="1:8">
      <c r="A1" s="319" t="s">
        <v>113</v>
      </c>
      <c r="B1" s="238" t="s">
        <v>41</v>
      </c>
      <c r="C1" s="239"/>
      <c r="D1" s="246">
        <v>42473</v>
      </c>
      <c r="E1" s="247"/>
      <c r="F1" s="247"/>
      <c r="G1" s="247"/>
      <c r="H1" s="236" t="s">
        <v>43</v>
      </c>
    </row>
    <row r="2" spans="1:8">
      <c r="A2" s="320"/>
      <c r="B2" s="238" t="s">
        <v>42</v>
      </c>
      <c r="C2" s="239"/>
      <c r="D2" s="249" t="s">
        <v>169</v>
      </c>
      <c r="E2" s="250"/>
      <c r="F2" s="250"/>
      <c r="G2" s="250"/>
      <c r="H2" s="237"/>
    </row>
    <row r="3" spans="1:8">
      <c r="A3" s="321"/>
      <c r="B3" s="243"/>
      <c r="C3" s="244"/>
      <c r="D3" s="244"/>
      <c r="E3" s="245"/>
      <c r="F3" s="252">
        <v>74</v>
      </c>
      <c r="G3" s="252"/>
      <c r="H3" s="237"/>
    </row>
    <row r="4" spans="1:8" s="2" customFormat="1">
      <c r="A4" s="282" t="s">
        <v>91</v>
      </c>
      <c r="B4" s="283"/>
      <c r="C4" s="284"/>
      <c r="D4" s="322" t="s">
        <v>85</v>
      </c>
      <c r="E4" s="323"/>
      <c r="F4" s="324" t="s">
        <v>86</v>
      </c>
      <c r="G4" s="257"/>
      <c r="H4" s="237"/>
    </row>
    <row r="5" spans="1:8">
      <c r="A5" s="161" t="str">
        <f>PARÁMETROS!A1</f>
        <v>MATERIA PRIMA E INSUMOS GAVCA</v>
      </c>
      <c r="B5" s="99" t="str">
        <f>PARÁMETROS!B1</f>
        <v>UNIDAD</v>
      </c>
      <c r="C5" s="99" t="str">
        <f>PARÁMETROS!C1</f>
        <v>COSTO</v>
      </c>
      <c r="D5" s="27" t="s">
        <v>35</v>
      </c>
      <c r="E5" s="26" t="s">
        <v>89</v>
      </c>
      <c r="F5" s="27" t="s">
        <v>35</v>
      </c>
      <c r="G5" s="193" t="s">
        <v>89</v>
      </c>
      <c r="H5" s="237"/>
    </row>
    <row r="6" spans="1:8">
      <c r="A6" s="190" t="str">
        <f>PARÁMETROS!A45</f>
        <v>GUAYABA EN PULPA (SUBPRODUCTO DE LOS CASCOS)</v>
      </c>
      <c r="B6" s="189" t="str">
        <f>PARÁMETROS!B45</f>
        <v>KILO</v>
      </c>
      <c r="C6" s="191">
        <f>PARÁMETROS!C45</f>
        <v>15</v>
      </c>
      <c r="D6" s="66"/>
      <c r="E6" s="192">
        <f>D6/F$3</f>
        <v>0</v>
      </c>
      <c r="F6" s="10">
        <f>D6*C6</f>
        <v>0</v>
      </c>
      <c r="G6" s="88">
        <f>F6/F$3</f>
        <v>0</v>
      </c>
      <c r="H6" s="30">
        <f t="shared" ref="H6:H16" si="0">G6/G$28</f>
        <v>0</v>
      </c>
    </row>
    <row r="7" spans="1:8">
      <c r="A7" s="2" t="str">
        <f>PARÁMETROS!A44</f>
        <v>GUAYABA</v>
      </c>
      <c r="B7" s="3" t="str">
        <f>PARÁMETROS!B44</f>
        <v>KILO</v>
      </c>
      <c r="C7" s="162">
        <f>PARÁMETROS!C44</f>
        <v>236.28</v>
      </c>
      <c r="D7" s="61">
        <v>20</v>
      </c>
      <c r="E7" s="72">
        <f>D7/F$3</f>
        <v>0.27027027027027029</v>
      </c>
      <c r="F7" s="10">
        <f>D7*C7</f>
        <v>4725.6000000000004</v>
      </c>
      <c r="G7" s="32">
        <f>F7/F$3</f>
        <v>63.859459459459465</v>
      </c>
      <c r="H7" s="31">
        <f t="shared" si="0"/>
        <v>0.33821197367591876</v>
      </c>
    </row>
    <row r="8" spans="1:8">
      <c r="A8" s="2" t="str">
        <f>PARÁMETROS!A8</f>
        <v>AZÚCAR</v>
      </c>
      <c r="B8" s="3" t="str">
        <f>PARÁMETROS!B8</f>
        <v>KILO</v>
      </c>
      <c r="C8" s="162">
        <f>PARÁMETROS!C8</f>
        <v>300</v>
      </c>
      <c r="D8" s="28">
        <v>8.5</v>
      </c>
      <c r="E8" s="72">
        <f t="shared" ref="E8:E16" si="1">D8/F$3</f>
        <v>0.11486486486486487</v>
      </c>
      <c r="F8" s="10">
        <f t="shared" ref="F8:F16" si="2">D8*C8</f>
        <v>2550</v>
      </c>
      <c r="G8" s="32">
        <f t="shared" ref="G8:G16" si="3">F8/F$3</f>
        <v>34.45945945945946</v>
      </c>
      <c r="H8" s="31">
        <f t="shared" si="0"/>
        <v>0.1825039218032827</v>
      </c>
    </row>
    <row r="9" spans="1:8">
      <c r="A9" s="2" t="str">
        <f>PARÁMETROS!A64</f>
        <v>VINAGRE</v>
      </c>
      <c r="B9" s="3" t="str">
        <f>PARÁMETROS!B64</f>
        <v>LITRO</v>
      </c>
      <c r="C9" s="162">
        <f>PARÁMETROS!C64</f>
        <v>255.06</v>
      </c>
      <c r="D9" s="28">
        <v>0.25</v>
      </c>
      <c r="E9" s="72">
        <f t="shared" si="1"/>
        <v>3.3783783783783786E-3</v>
      </c>
      <c r="F9" s="10">
        <f t="shared" si="2"/>
        <v>63.765000000000001</v>
      </c>
      <c r="G9" s="32">
        <f t="shared" si="3"/>
        <v>0.86168918918918924</v>
      </c>
      <c r="H9" s="31">
        <f t="shared" si="0"/>
        <v>4.5636715975632637E-3</v>
      </c>
    </row>
    <row r="10" spans="1:8">
      <c r="A10" s="2" t="str">
        <f>PARÁMETROS!A39</f>
        <v>FRASCO 200GR</v>
      </c>
      <c r="B10" s="3" t="str">
        <f>PARÁMETROS!B39</f>
        <v>UNIDAD</v>
      </c>
      <c r="C10" s="162">
        <f>PARÁMETROS!C39</f>
        <v>32.03</v>
      </c>
      <c r="D10" s="169">
        <f>F$3</f>
        <v>74</v>
      </c>
      <c r="E10" s="72">
        <f t="shared" si="1"/>
        <v>1</v>
      </c>
      <c r="F10" s="10">
        <f t="shared" si="2"/>
        <v>2370.2200000000003</v>
      </c>
      <c r="G10" s="32">
        <f t="shared" si="3"/>
        <v>32.03</v>
      </c>
      <c r="H10" s="31">
        <f t="shared" si="0"/>
        <v>0.16963703746532421</v>
      </c>
    </row>
    <row r="11" spans="1:8">
      <c r="A11" s="2" t="str">
        <f>PARÁMETROS!A27</f>
        <v>ETIQUETA FRASCO DE 200GR</v>
      </c>
      <c r="B11" s="3" t="str">
        <f>PARÁMETROS!B27</f>
        <v>UNIDAD</v>
      </c>
      <c r="C11" s="162">
        <f>PARÁMETROS!C27</f>
        <v>14.8</v>
      </c>
      <c r="D11" s="169">
        <f>F$3</f>
        <v>74</v>
      </c>
      <c r="E11" s="72">
        <f t="shared" si="1"/>
        <v>1</v>
      </c>
      <c r="F11" s="10">
        <f t="shared" si="2"/>
        <v>1095.2</v>
      </c>
      <c r="G11" s="32">
        <f t="shared" si="3"/>
        <v>14.8</v>
      </c>
      <c r="H11" s="31">
        <f t="shared" si="0"/>
        <v>7.8383645160374604E-2</v>
      </c>
    </row>
    <row r="12" spans="1:8">
      <c r="A12" s="2" t="str">
        <f>PARÁMETROS!A32</f>
        <v>PRESINTO TAPA DE 200GR</v>
      </c>
      <c r="B12" s="3" t="str">
        <f>PARÁMETROS!B32</f>
        <v>UNIDAD</v>
      </c>
      <c r="C12" s="162">
        <f>PARÁMETROS!C32</f>
        <v>0.5</v>
      </c>
      <c r="D12" s="169">
        <f>F$3</f>
        <v>74</v>
      </c>
      <c r="E12" s="72">
        <f t="shared" si="1"/>
        <v>1</v>
      </c>
      <c r="F12" s="10">
        <f t="shared" si="2"/>
        <v>37</v>
      </c>
      <c r="G12" s="32">
        <f t="shared" si="3"/>
        <v>0.5</v>
      </c>
      <c r="H12" s="31">
        <f t="shared" si="0"/>
        <v>2.6480961202829255E-3</v>
      </c>
    </row>
    <row r="13" spans="1:8">
      <c r="A13" s="2" t="str">
        <f>PARÁMETROS!A43</f>
        <v>GUANTES DE LATEX RE-USABLES</v>
      </c>
      <c r="B13" s="3" t="str">
        <f>PARÁMETROS!B43</f>
        <v>PAR</v>
      </c>
      <c r="C13" s="162">
        <f>PARÁMETROS!C43</f>
        <v>335.63</v>
      </c>
      <c r="D13" s="28">
        <f>3/10</f>
        <v>0.3</v>
      </c>
      <c r="E13" s="72">
        <f t="shared" si="1"/>
        <v>4.0540540540540543E-3</v>
      </c>
      <c r="F13" s="10">
        <f t="shared" si="2"/>
        <v>100.68899999999999</v>
      </c>
      <c r="G13" s="32">
        <f t="shared" si="3"/>
        <v>1.360662162162162</v>
      </c>
      <c r="H13" s="31">
        <f t="shared" si="0"/>
        <v>7.2063283852747961E-3</v>
      </c>
    </row>
    <row r="14" spans="1:8">
      <c r="A14" s="2" t="str">
        <f>PARÁMETROS!A6</f>
        <v>ALCOHOL</v>
      </c>
      <c r="B14" s="3" t="str">
        <f>PARÁMETROS!B6</f>
        <v>LITRO</v>
      </c>
      <c r="C14" s="162">
        <f>PARÁMETROS!C6</f>
        <v>300</v>
      </c>
      <c r="D14" s="28"/>
      <c r="E14" s="72">
        <f t="shared" si="1"/>
        <v>0</v>
      </c>
      <c r="F14" s="10">
        <f t="shared" si="2"/>
        <v>0</v>
      </c>
      <c r="G14" s="32">
        <f t="shared" si="3"/>
        <v>0</v>
      </c>
      <c r="H14" s="31">
        <f t="shared" si="0"/>
        <v>0</v>
      </c>
    </row>
    <row r="15" spans="1:8">
      <c r="A15" s="2" t="str">
        <f>PARÁMETROS!A9</f>
        <v>BOLSA DE BASURA</v>
      </c>
      <c r="B15" s="3" t="str">
        <f>PARÁMETROS!B9</f>
        <v>UNIDAD</v>
      </c>
      <c r="C15" s="162">
        <f>PARÁMETROS!C9</f>
        <v>49.84</v>
      </c>
      <c r="D15" s="28">
        <v>2</v>
      </c>
      <c r="E15" s="72">
        <f t="shared" si="1"/>
        <v>2.7027027027027029E-2</v>
      </c>
      <c r="F15" s="10">
        <f t="shared" si="2"/>
        <v>99.68</v>
      </c>
      <c r="G15" s="32">
        <f t="shared" si="3"/>
        <v>1.347027027027027</v>
      </c>
      <c r="H15" s="31">
        <f t="shared" si="0"/>
        <v>7.1341140883730281E-3</v>
      </c>
    </row>
    <row r="16" spans="1:8" s="2" customFormat="1">
      <c r="A16" s="2" t="str">
        <f>PARÁMETROS!F24</f>
        <v>GAS (COSTO 1% DE CONSUMO)</v>
      </c>
      <c r="B16" s="3" t="str">
        <f>PARÁMETROS!G24</f>
        <v>1%</v>
      </c>
      <c r="C16" s="162">
        <f>PARÁMETROS!H24</f>
        <v>92.307692307692307</v>
      </c>
      <c r="D16" s="61">
        <v>2</v>
      </c>
      <c r="E16" s="72">
        <f t="shared" si="1"/>
        <v>2.7027027027027029E-2</v>
      </c>
      <c r="F16" s="10">
        <f t="shared" si="2"/>
        <v>184.61538461538461</v>
      </c>
      <c r="G16" s="32">
        <f t="shared" si="3"/>
        <v>2.4948024948024949</v>
      </c>
      <c r="H16" s="31">
        <f t="shared" si="0"/>
        <v>1.3212953614717301E-2</v>
      </c>
    </row>
    <row r="17" spans="1:8" s="2" customFormat="1">
      <c r="A17" s="2" t="str">
        <f>PARÁMETROS!A20</f>
        <v>ELECTRICIDAD</v>
      </c>
      <c r="B17" s="3" t="str">
        <f>PARÁMETROS!B20</f>
        <v>KWH</v>
      </c>
      <c r="C17" s="32">
        <f>PARÁMETROS!C20</f>
        <v>0</v>
      </c>
      <c r="D17" s="61"/>
      <c r="E17" s="72">
        <f t="shared" ref="E17:E25" si="4">D17/F$3</f>
        <v>0</v>
      </c>
      <c r="F17" s="10">
        <f t="shared" ref="F17:F25" si="5">D17*C17</f>
        <v>0</v>
      </c>
      <c r="G17" s="32">
        <f t="shared" ref="G17:G25" si="6">F17/F$3</f>
        <v>0</v>
      </c>
      <c r="H17" s="31">
        <f t="shared" ref="H17:H25" si="7">G17/G$28</f>
        <v>0</v>
      </c>
    </row>
    <row r="18" spans="1:8" s="2" customFormat="1">
      <c r="A18" s="2" t="str">
        <f>PARÁMETROS!A4</f>
        <v>AGUA</v>
      </c>
      <c r="B18" s="3" t="str">
        <f>PARÁMETROS!B4</f>
        <v>UNITARIO E</v>
      </c>
      <c r="C18" s="32">
        <f>PARÁMETROS!C4</f>
        <v>0</v>
      </c>
      <c r="D18" s="61"/>
      <c r="E18" s="72">
        <f t="shared" si="4"/>
        <v>0</v>
      </c>
      <c r="F18" s="10">
        <f t="shared" si="5"/>
        <v>0</v>
      </c>
      <c r="G18" s="32">
        <f t="shared" si="6"/>
        <v>0</v>
      </c>
      <c r="H18" s="31">
        <f t="shared" si="7"/>
        <v>0</v>
      </c>
    </row>
    <row r="19" spans="1:8" s="2" customFormat="1">
      <c r="A19" s="2" t="str">
        <f>PARÁMETROS!A18</f>
        <v>DETERGENTE PARA VAJILLAS</v>
      </c>
      <c r="B19" s="3" t="str">
        <f>PARÁMETROS!B18</f>
        <v>LITRO</v>
      </c>
      <c r="C19" s="32">
        <f>PARÁMETROS!C18</f>
        <v>32.06</v>
      </c>
      <c r="D19" s="61"/>
      <c r="E19" s="72">
        <f t="shared" si="4"/>
        <v>0</v>
      </c>
      <c r="F19" s="10">
        <f t="shared" si="5"/>
        <v>0</v>
      </c>
      <c r="G19" s="32">
        <f t="shared" si="6"/>
        <v>0</v>
      </c>
      <c r="H19" s="31">
        <f t="shared" si="7"/>
        <v>0</v>
      </c>
    </row>
    <row r="20" spans="1:8" s="2" customFormat="1">
      <c r="A20" s="2" t="str">
        <f>PARÁMETROS!A17</f>
        <v>DETERGENTE PARA PISOS</v>
      </c>
      <c r="B20" s="3" t="str">
        <f>PARÁMETROS!B17</f>
        <v>LITRO</v>
      </c>
      <c r="C20" s="32">
        <f>PARÁMETROS!C17</f>
        <v>12.92</v>
      </c>
      <c r="D20" s="61"/>
      <c r="E20" s="72">
        <f t="shared" si="4"/>
        <v>0</v>
      </c>
      <c r="F20" s="10">
        <f t="shared" si="5"/>
        <v>0</v>
      </c>
      <c r="G20" s="32">
        <f t="shared" si="6"/>
        <v>0</v>
      </c>
      <c r="H20" s="31">
        <f t="shared" si="7"/>
        <v>0</v>
      </c>
    </row>
    <row r="21" spans="1:8" s="2" customFormat="1">
      <c r="A21" s="2" t="str">
        <f>PARÁMETROS!A6</f>
        <v>ALCOHOL</v>
      </c>
      <c r="B21" s="3" t="str">
        <f>PARÁMETROS!B6</f>
        <v>LITRO</v>
      </c>
      <c r="C21" s="32">
        <f>PARÁMETROS!C6</f>
        <v>300</v>
      </c>
      <c r="D21" s="61"/>
      <c r="E21" s="72">
        <f t="shared" si="4"/>
        <v>0</v>
      </c>
      <c r="F21" s="10">
        <f t="shared" si="5"/>
        <v>0</v>
      </c>
      <c r="G21" s="32">
        <f t="shared" si="6"/>
        <v>0</v>
      </c>
      <c r="H21" s="31">
        <f t="shared" si="7"/>
        <v>0</v>
      </c>
    </row>
    <row r="22" spans="1:8" s="2" customFormat="1">
      <c r="A22" s="2" t="str">
        <f>PARÁMETROS!A22</f>
        <v>ESPONJA DE LIMPIEZA</v>
      </c>
      <c r="B22" s="3" t="str">
        <f>PARÁMETROS!B22</f>
        <v>UNIDAD</v>
      </c>
      <c r="C22" s="32">
        <f>PARÁMETROS!C22</f>
        <v>0</v>
      </c>
      <c r="D22" s="61"/>
      <c r="E22" s="72">
        <f t="shared" si="4"/>
        <v>0</v>
      </c>
      <c r="F22" s="10">
        <f t="shared" si="5"/>
        <v>0</v>
      </c>
      <c r="G22" s="32">
        <f t="shared" si="6"/>
        <v>0</v>
      </c>
      <c r="H22" s="31">
        <f t="shared" si="7"/>
        <v>0</v>
      </c>
    </row>
    <row r="23" spans="1:8" s="2" customFormat="1">
      <c r="A23" s="2" t="str">
        <f>PARÁMETROS!A9</f>
        <v>BOLSA DE BASURA</v>
      </c>
      <c r="B23" s="3" t="str">
        <f>PARÁMETROS!B9</f>
        <v>UNIDAD</v>
      </c>
      <c r="C23" s="32">
        <f>PARÁMETROS!C9</f>
        <v>49.84</v>
      </c>
      <c r="D23" s="61"/>
      <c r="E23" s="72">
        <f t="shared" si="4"/>
        <v>0</v>
      </c>
      <c r="F23" s="10">
        <f t="shared" si="5"/>
        <v>0</v>
      </c>
      <c r="G23" s="32">
        <f t="shared" si="6"/>
        <v>0</v>
      </c>
      <c r="H23" s="31">
        <f t="shared" si="7"/>
        <v>0</v>
      </c>
    </row>
    <row r="24" spans="1:8" s="2" customFormat="1">
      <c r="A24" s="2" t="str">
        <f>PARÁMETROS!A14</f>
        <v>COLETO</v>
      </c>
      <c r="B24" s="3" t="str">
        <f>PARÁMETROS!B14</f>
        <v>UNIDAD</v>
      </c>
      <c r="C24" s="32">
        <f>PARÁMETROS!C14</f>
        <v>0</v>
      </c>
      <c r="D24" s="61"/>
      <c r="E24" s="72">
        <f t="shared" si="4"/>
        <v>0</v>
      </c>
      <c r="F24" s="10">
        <f t="shared" si="5"/>
        <v>0</v>
      </c>
      <c r="G24" s="32">
        <f t="shared" si="6"/>
        <v>0</v>
      </c>
      <c r="H24" s="31">
        <f t="shared" si="7"/>
        <v>0</v>
      </c>
    </row>
    <row r="25" spans="1:8">
      <c r="A25" s="2" t="str">
        <f>PARÁMETROS!A33</f>
        <v xml:space="preserve">FÓSFOROS </v>
      </c>
      <c r="B25" s="3" t="str">
        <f>PARÁMETROS!B33</f>
        <v>C.GRDE</v>
      </c>
      <c r="C25" s="32">
        <f>PARÁMETROS!C33</f>
        <v>1.63</v>
      </c>
      <c r="D25" s="61"/>
      <c r="E25" s="72">
        <f t="shared" si="4"/>
        <v>0</v>
      </c>
      <c r="F25" s="11">
        <f t="shared" si="5"/>
        <v>0</v>
      </c>
      <c r="G25" s="32">
        <f t="shared" si="6"/>
        <v>0</v>
      </c>
      <c r="H25" s="50">
        <f t="shared" si="7"/>
        <v>0</v>
      </c>
    </row>
    <row r="26" spans="1:8">
      <c r="A26" s="291" t="s">
        <v>38</v>
      </c>
      <c r="B26" s="292"/>
      <c r="C26" s="292"/>
      <c r="D26" s="292"/>
      <c r="E26" s="293"/>
      <c r="F26" s="80">
        <f>SUM(F6:F25)</f>
        <v>11226.769384615387</v>
      </c>
      <c r="G26" s="80">
        <f>SUM(G6:G25)</f>
        <v>151.7130997920998</v>
      </c>
      <c r="H26" s="81">
        <f>G26/G$28</f>
        <v>0.80350174191111157</v>
      </c>
    </row>
    <row r="27" spans="1:8">
      <c r="A27" s="4" t="str">
        <f>PARÁMETROS!A67</f>
        <v>MANO DE OBRA</v>
      </c>
      <c r="B27" s="5" t="str">
        <f>PARÁMETROS!B67</f>
        <v xml:space="preserve">JORNAL </v>
      </c>
      <c r="C27" s="6">
        <f>PARÁMETROS!C67</f>
        <v>1830.3553997660001</v>
      </c>
      <c r="D27" s="28">
        <v>1.5</v>
      </c>
      <c r="E27" s="74">
        <f>D27/F3</f>
        <v>2.0270270270270271E-2</v>
      </c>
      <c r="F27" s="6">
        <f>D27*C27</f>
        <v>2745.5330996490002</v>
      </c>
      <c r="G27" s="6">
        <f>F27/F3</f>
        <v>37.101798643905411</v>
      </c>
      <c r="H27" s="49">
        <f>G27/G$28</f>
        <v>0.19649825808888846</v>
      </c>
    </row>
    <row r="28" spans="1:8">
      <c r="A28" s="294" t="s">
        <v>39</v>
      </c>
      <c r="B28" s="294"/>
      <c r="C28" s="294"/>
      <c r="D28" s="294"/>
      <c r="E28" s="294"/>
      <c r="F28" s="80">
        <f>F26+F27</f>
        <v>13972.302484264386</v>
      </c>
      <c r="G28" s="80">
        <f>G26+G27</f>
        <v>188.81489843600519</v>
      </c>
      <c r="H28" s="81">
        <f>G28/G$28</f>
        <v>1</v>
      </c>
    </row>
    <row r="30" spans="1:8">
      <c r="A30" s="5" t="s">
        <v>87</v>
      </c>
      <c r="B30" s="60"/>
    </row>
  </sheetData>
  <mergeCells count="13">
    <mergeCell ref="H1:H5"/>
    <mergeCell ref="B2:C2"/>
    <mergeCell ref="D2:G2"/>
    <mergeCell ref="B3:E3"/>
    <mergeCell ref="F3:G3"/>
    <mergeCell ref="A4:C4"/>
    <mergeCell ref="D4:E4"/>
    <mergeCell ref="F4:G4"/>
    <mergeCell ref="A26:E26"/>
    <mergeCell ref="A28:E28"/>
    <mergeCell ref="A1:A3"/>
    <mergeCell ref="B1:C1"/>
    <mergeCell ref="D1:G1"/>
  </mergeCells>
  <printOptions horizontalCentered="1" verticalCentered="1" gridLines="1"/>
  <pageMargins left="0.70866141732283472" right="0.70866141732283472" top="0.74803149606299213" bottom="0.74803149606299213" header="0.31496062992125984" footer="0.31496062992125984"/>
  <pageSetup scale="85" orientation="landscape" r:id="rId1"/>
  <headerFooter>
    <oddFooter>&amp;RMERMELADA DE GUAYABA DE 200GR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A10" sqref="A10"/>
    </sheetView>
  </sheetViews>
  <sheetFormatPr baseColWidth="10" defaultRowHeight="15"/>
  <cols>
    <col min="1" max="1" width="48.5703125" style="2" bestFit="1" customWidth="1"/>
    <col min="2" max="16384" width="11.42578125" style="2"/>
  </cols>
  <sheetData>
    <row r="1" spans="1:8">
      <c r="A1" s="319" t="s">
        <v>138</v>
      </c>
      <c r="B1" s="238" t="s">
        <v>41</v>
      </c>
      <c r="C1" s="239"/>
      <c r="D1" s="246">
        <v>42053</v>
      </c>
      <c r="E1" s="247"/>
      <c r="F1" s="247"/>
      <c r="G1" s="247"/>
      <c r="H1" s="236" t="s">
        <v>43</v>
      </c>
    </row>
    <row r="2" spans="1:8">
      <c r="A2" s="320"/>
      <c r="B2" s="238" t="s">
        <v>42</v>
      </c>
      <c r="C2" s="239"/>
      <c r="D2" s="249" t="s">
        <v>145</v>
      </c>
      <c r="E2" s="250"/>
      <c r="F2" s="250"/>
      <c r="G2" s="250"/>
      <c r="H2" s="237"/>
    </row>
    <row r="3" spans="1:8">
      <c r="A3" s="321"/>
      <c r="B3" s="243" t="s">
        <v>37</v>
      </c>
      <c r="C3" s="244"/>
      <c r="D3" s="244"/>
      <c r="E3" s="245"/>
      <c r="F3" s="252">
        <v>34</v>
      </c>
      <c r="G3" s="252"/>
      <c r="H3" s="237"/>
    </row>
    <row r="4" spans="1:8">
      <c r="A4" s="282" t="s">
        <v>91</v>
      </c>
      <c r="B4" s="283"/>
      <c r="C4" s="284"/>
      <c r="D4" s="322" t="s">
        <v>85</v>
      </c>
      <c r="E4" s="323"/>
      <c r="F4" s="256" t="s">
        <v>86</v>
      </c>
      <c r="G4" s="257"/>
      <c r="H4" s="237"/>
    </row>
    <row r="5" spans="1:8">
      <c r="A5" s="161" t="str">
        <f>PARÁMETROS!A1</f>
        <v>MATERIA PRIMA E INSUMOS GAVCA</v>
      </c>
      <c r="B5" s="99" t="str">
        <f>PARÁMETROS!B1</f>
        <v>UNIDAD</v>
      </c>
      <c r="C5" s="99" t="str">
        <f>PARÁMETROS!C1</f>
        <v>COSTO</v>
      </c>
      <c r="D5" s="27" t="s">
        <v>35</v>
      </c>
      <c r="E5" s="27" t="s">
        <v>89</v>
      </c>
      <c r="F5" s="27" t="s">
        <v>35</v>
      </c>
      <c r="G5" s="27" t="s">
        <v>89</v>
      </c>
      <c r="H5" s="278"/>
    </row>
    <row r="6" spans="1:8" s="194" customFormat="1">
      <c r="A6" s="199" t="str">
        <f>PARÁMETROS!A45</f>
        <v>GUAYABA EN PULPA (SUBPRODUCTO DE LOS CASCOS)</v>
      </c>
      <c r="B6" s="189" t="str">
        <f>PARÁMETROS!B45</f>
        <v>KILO</v>
      </c>
      <c r="C6" s="191">
        <f>PARÁMETROS!C45</f>
        <v>15</v>
      </c>
      <c r="D6" s="198">
        <v>0</v>
      </c>
      <c r="E6" s="137">
        <f>D6/F$3</f>
        <v>0</v>
      </c>
      <c r="F6" s="88">
        <f>D6*C6</f>
        <v>0</v>
      </c>
      <c r="G6" s="10">
        <f>F6/F$3</f>
        <v>0</v>
      </c>
      <c r="H6" s="31">
        <f t="shared" ref="H6:H25" si="0">G6/G$28</f>
        <v>0</v>
      </c>
    </row>
    <row r="7" spans="1:8">
      <c r="A7" s="16" t="str">
        <f>PARÁMETROS!A44</f>
        <v>GUAYABA</v>
      </c>
      <c r="B7" s="200" t="str">
        <f>PARÁMETROS!B44</f>
        <v>KILO</v>
      </c>
      <c r="C7" s="201">
        <f>PARÁMETROS!C44</f>
        <v>236.28</v>
      </c>
      <c r="D7" s="195">
        <f>34/50*101.018</f>
        <v>68.692240000000012</v>
      </c>
      <c r="E7" s="137">
        <f>D7/F$3</f>
        <v>2.0203600000000002</v>
      </c>
      <c r="F7" s="88">
        <f>D7*C7</f>
        <v>16230.602467200002</v>
      </c>
      <c r="G7" s="10">
        <f>F7/F$3</f>
        <v>477.37066080000005</v>
      </c>
      <c r="H7" s="31">
        <f t="shared" si="0"/>
        <v>0.55557027593183694</v>
      </c>
    </row>
    <row r="8" spans="1:8">
      <c r="A8" s="16" t="str">
        <f>PARÁMETROS!A8</f>
        <v>AZÚCAR</v>
      </c>
      <c r="B8" s="200" t="str">
        <f>PARÁMETROS!B8</f>
        <v>KILO</v>
      </c>
      <c r="C8" s="201">
        <f>PARÁMETROS!C8</f>
        <v>300</v>
      </c>
      <c r="D8" s="195">
        <f>34/50*31.22</f>
        <v>21.229600000000001</v>
      </c>
      <c r="E8" s="137">
        <f t="shared" ref="E8:E25" si="1">D8/F$3</f>
        <v>0.62440000000000007</v>
      </c>
      <c r="F8" s="88">
        <f t="shared" ref="F8:F25" si="2">D8*C8</f>
        <v>6368.88</v>
      </c>
      <c r="G8" s="10">
        <f t="shared" ref="G8:G25" si="3">F8/F$3</f>
        <v>187.32</v>
      </c>
      <c r="H8" s="31">
        <f t="shared" si="0"/>
        <v>0.21800548846706938</v>
      </c>
    </row>
    <row r="9" spans="1:8">
      <c r="A9" s="16" t="str">
        <f>PARÁMETROS!A64</f>
        <v>VINAGRE</v>
      </c>
      <c r="B9" s="200" t="str">
        <f>PARÁMETROS!B64</f>
        <v>LITRO</v>
      </c>
      <c r="C9" s="201">
        <f>PARÁMETROS!C64</f>
        <v>255.06</v>
      </c>
      <c r="D9" s="195">
        <v>0.25</v>
      </c>
      <c r="E9" s="137">
        <f t="shared" si="1"/>
        <v>7.3529411764705881E-3</v>
      </c>
      <c r="F9" s="88">
        <f t="shared" si="2"/>
        <v>63.765000000000001</v>
      </c>
      <c r="G9" s="10">
        <f t="shared" si="3"/>
        <v>1.8754411764705883</v>
      </c>
      <c r="H9" s="31">
        <f t="shared" si="0"/>
        <v>2.1826631954288164E-3</v>
      </c>
    </row>
    <row r="10" spans="1:8">
      <c r="A10" s="16" t="str">
        <f>PARÁMETROS!A35</f>
        <v>FRASCO 1KG</v>
      </c>
      <c r="B10" s="200" t="str">
        <f>PARÁMETROS!B35</f>
        <v>UNIDAD</v>
      </c>
      <c r="C10" s="88">
        <f>PARÁMETROS!C35</f>
        <v>15</v>
      </c>
      <c r="D10" s="169">
        <f>F$3</f>
        <v>34</v>
      </c>
      <c r="E10" s="137">
        <f t="shared" si="1"/>
        <v>1</v>
      </c>
      <c r="F10" s="88">
        <f t="shared" si="2"/>
        <v>510</v>
      </c>
      <c r="G10" s="10">
        <f t="shared" si="3"/>
        <v>15</v>
      </c>
      <c r="H10" s="31">
        <f t="shared" si="0"/>
        <v>1.7457197987433486E-2</v>
      </c>
    </row>
    <row r="11" spans="1:8">
      <c r="A11" s="16" t="str">
        <f>PARÁMETROS!A24</f>
        <v>ETIQUETA FRASCO DE 1KG</v>
      </c>
      <c r="B11" s="200" t="str">
        <f>PARÁMETROS!B23</f>
        <v>UNIDAD</v>
      </c>
      <c r="C11" s="88">
        <f>PARÁMETROS!C23</f>
        <v>10</v>
      </c>
      <c r="D11" s="196">
        <f>F$3</f>
        <v>34</v>
      </c>
      <c r="E11" s="137">
        <f t="shared" si="1"/>
        <v>1</v>
      </c>
      <c r="F11" s="88">
        <f t="shared" si="2"/>
        <v>340</v>
      </c>
      <c r="G11" s="10">
        <f t="shared" si="3"/>
        <v>10</v>
      </c>
      <c r="H11" s="31">
        <f t="shared" si="0"/>
        <v>1.1638131991622324E-2</v>
      </c>
    </row>
    <row r="12" spans="1:8">
      <c r="A12" s="16" t="str">
        <f>PARÁMETROS!A29</f>
        <v>PRESINTO TAPA DE 1KG</v>
      </c>
      <c r="B12" s="200" t="str">
        <f>PARÁMETROS!B29</f>
        <v>UNIDAD</v>
      </c>
      <c r="C12" s="14">
        <f>PARÁMETROS!C29</f>
        <v>0.5</v>
      </c>
      <c r="D12" s="196">
        <f>F$3</f>
        <v>34</v>
      </c>
      <c r="E12" s="137">
        <f t="shared" si="1"/>
        <v>1</v>
      </c>
      <c r="F12" s="88">
        <f t="shared" si="2"/>
        <v>17</v>
      </c>
      <c r="G12" s="10">
        <f t="shared" si="3"/>
        <v>0.5</v>
      </c>
      <c r="H12" s="31">
        <f t="shared" si="0"/>
        <v>5.8190659958111618E-4</v>
      </c>
    </row>
    <row r="13" spans="1:8">
      <c r="A13" s="16" t="str">
        <f>PARÁMETROS!A43</f>
        <v>GUANTES DE LATEX RE-USABLES</v>
      </c>
      <c r="B13" s="200" t="str">
        <f>PARÁMETROS!B43</f>
        <v>PAR</v>
      </c>
      <c r="C13" s="201">
        <f>PARÁMETROS!C43</f>
        <v>335.63</v>
      </c>
      <c r="D13" s="195">
        <f>3/10</f>
        <v>0.3</v>
      </c>
      <c r="E13" s="137">
        <f t="shared" si="1"/>
        <v>8.8235294117647058E-3</v>
      </c>
      <c r="F13" s="88">
        <f t="shared" si="2"/>
        <v>100.68899999999999</v>
      </c>
      <c r="G13" s="10">
        <f t="shared" si="3"/>
        <v>2.9614411764705881</v>
      </c>
      <c r="H13" s="31">
        <f t="shared" si="0"/>
        <v>3.4465643297190004E-3</v>
      </c>
    </row>
    <row r="14" spans="1:8">
      <c r="A14" s="16" t="str">
        <f>PARÁMETROS!A6</f>
        <v>ALCOHOL</v>
      </c>
      <c r="B14" s="200" t="str">
        <f>PARÁMETROS!B6</f>
        <v>LITRO</v>
      </c>
      <c r="C14" s="201">
        <f>PARÁMETROS!C6</f>
        <v>300</v>
      </c>
      <c r="D14" s="195"/>
      <c r="E14" s="137">
        <f t="shared" si="1"/>
        <v>0</v>
      </c>
      <c r="F14" s="88">
        <f t="shared" si="2"/>
        <v>0</v>
      </c>
      <c r="G14" s="10">
        <f t="shared" si="3"/>
        <v>0</v>
      </c>
      <c r="H14" s="31">
        <f t="shared" si="0"/>
        <v>0</v>
      </c>
    </row>
    <row r="15" spans="1:8">
      <c r="A15" s="16" t="str">
        <f>PARÁMETROS!A9</f>
        <v>BOLSA DE BASURA</v>
      </c>
      <c r="B15" s="200" t="str">
        <f>PARÁMETROS!B9</f>
        <v>UNIDAD</v>
      </c>
      <c r="C15" s="201">
        <f>PARÁMETROS!C9</f>
        <v>49.84</v>
      </c>
      <c r="D15" s="195"/>
      <c r="E15" s="137">
        <f t="shared" si="1"/>
        <v>0</v>
      </c>
      <c r="F15" s="88">
        <f t="shared" si="2"/>
        <v>0</v>
      </c>
      <c r="G15" s="10">
        <f t="shared" si="3"/>
        <v>0</v>
      </c>
      <c r="H15" s="31">
        <f t="shared" si="0"/>
        <v>0</v>
      </c>
    </row>
    <row r="16" spans="1:8">
      <c r="A16" s="16" t="str">
        <f>PARÁMETROS!F24</f>
        <v>GAS (COSTO 1% DE CONSUMO)</v>
      </c>
      <c r="B16" s="200" t="str">
        <f>PARÁMETROS!G24</f>
        <v>1%</v>
      </c>
      <c r="C16" s="201">
        <f>PARÁMETROS!H24</f>
        <v>92.307692307692307</v>
      </c>
      <c r="D16" s="195">
        <v>1</v>
      </c>
      <c r="E16" s="137">
        <f t="shared" si="1"/>
        <v>2.9411764705882353E-2</v>
      </c>
      <c r="F16" s="88">
        <f t="shared" si="2"/>
        <v>92.307692307692307</v>
      </c>
      <c r="G16" s="10">
        <f t="shared" si="3"/>
        <v>2.7149321266968327</v>
      </c>
      <c r="H16" s="31">
        <f t="shared" si="0"/>
        <v>3.1596738438793644E-3</v>
      </c>
    </row>
    <row r="17" spans="1:8">
      <c r="A17" s="16" t="str">
        <f>PARÁMETROS!A20</f>
        <v>ELECTRICIDAD</v>
      </c>
      <c r="B17" s="200" t="str">
        <f>PARÁMETROS!B20</f>
        <v>KWH</v>
      </c>
      <c r="C17" s="88">
        <f>PARÁMETROS!C20</f>
        <v>0</v>
      </c>
      <c r="D17" s="195"/>
      <c r="E17" s="137">
        <f t="shared" si="1"/>
        <v>0</v>
      </c>
      <c r="F17" s="88">
        <f t="shared" si="2"/>
        <v>0</v>
      </c>
      <c r="G17" s="10">
        <f t="shared" si="3"/>
        <v>0</v>
      </c>
      <c r="H17" s="31">
        <f t="shared" si="0"/>
        <v>0</v>
      </c>
    </row>
    <row r="18" spans="1:8">
      <c r="A18" s="16" t="str">
        <f>PARÁMETROS!A4</f>
        <v>AGUA</v>
      </c>
      <c r="B18" s="200" t="str">
        <f>PARÁMETROS!B4</f>
        <v>UNITARIO E</v>
      </c>
      <c r="C18" s="88">
        <f>PARÁMETROS!C4</f>
        <v>0</v>
      </c>
      <c r="D18" s="195"/>
      <c r="E18" s="137">
        <f t="shared" si="1"/>
        <v>0</v>
      </c>
      <c r="F18" s="88">
        <f t="shared" si="2"/>
        <v>0</v>
      </c>
      <c r="G18" s="10">
        <f t="shared" si="3"/>
        <v>0</v>
      </c>
      <c r="H18" s="31">
        <f t="shared" si="0"/>
        <v>0</v>
      </c>
    </row>
    <row r="19" spans="1:8">
      <c r="A19" s="16" t="str">
        <f>PARÁMETROS!A18</f>
        <v>DETERGENTE PARA VAJILLAS</v>
      </c>
      <c r="B19" s="200" t="str">
        <f>PARÁMETROS!B18</f>
        <v>LITRO</v>
      </c>
      <c r="C19" s="88">
        <f>PARÁMETROS!C18</f>
        <v>32.06</v>
      </c>
      <c r="D19" s="195"/>
      <c r="E19" s="137">
        <f t="shared" si="1"/>
        <v>0</v>
      </c>
      <c r="F19" s="88">
        <f t="shared" si="2"/>
        <v>0</v>
      </c>
      <c r="G19" s="10">
        <f t="shared" si="3"/>
        <v>0</v>
      </c>
      <c r="H19" s="31">
        <f t="shared" si="0"/>
        <v>0</v>
      </c>
    </row>
    <row r="20" spans="1:8">
      <c r="A20" s="16" t="str">
        <f>PARÁMETROS!A17</f>
        <v>DETERGENTE PARA PISOS</v>
      </c>
      <c r="B20" s="200" t="str">
        <f>PARÁMETROS!B17</f>
        <v>LITRO</v>
      </c>
      <c r="C20" s="88">
        <f>PARÁMETROS!C17</f>
        <v>12.92</v>
      </c>
      <c r="D20" s="195"/>
      <c r="E20" s="137">
        <f t="shared" si="1"/>
        <v>0</v>
      </c>
      <c r="F20" s="88">
        <f t="shared" si="2"/>
        <v>0</v>
      </c>
      <c r="G20" s="10">
        <f t="shared" si="3"/>
        <v>0</v>
      </c>
      <c r="H20" s="31">
        <f t="shared" si="0"/>
        <v>0</v>
      </c>
    </row>
    <row r="21" spans="1:8">
      <c r="A21" s="16" t="str">
        <f>PARÁMETROS!A6</f>
        <v>ALCOHOL</v>
      </c>
      <c r="B21" s="200" t="str">
        <f>PARÁMETROS!B6</f>
        <v>LITRO</v>
      </c>
      <c r="C21" s="88">
        <f>PARÁMETROS!C6</f>
        <v>300</v>
      </c>
      <c r="D21" s="195"/>
      <c r="E21" s="137">
        <f t="shared" si="1"/>
        <v>0</v>
      </c>
      <c r="F21" s="88">
        <f t="shared" si="2"/>
        <v>0</v>
      </c>
      <c r="G21" s="10">
        <f t="shared" si="3"/>
        <v>0</v>
      </c>
      <c r="H21" s="31">
        <f t="shared" si="0"/>
        <v>0</v>
      </c>
    </row>
    <row r="22" spans="1:8">
      <c r="A22" s="16" t="str">
        <f>PARÁMETROS!A22</f>
        <v>ESPONJA DE LIMPIEZA</v>
      </c>
      <c r="B22" s="200" t="str">
        <f>PARÁMETROS!B22</f>
        <v>UNIDAD</v>
      </c>
      <c r="C22" s="88">
        <f>PARÁMETROS!C22</f>
        <v>0</v>
      </c>
      <c r="D22" s="195"/>
      <c r="E22" s="137">
        <f t="shared" si="1"/>
        <v>0</v>
      </c>
      <c r="F22" s="88">
        <f t="shared" si="2"/>
        <v>0</v>
      </c>
      <c r="G22" s="10">
        <f t="shared" si="3"/>
        <v>0</v>
      </c>
      <c r="H22" s="31">
        <f t="shared" si="0"/>
        <v>0</v>
      </c>
    </row>
    <row r="23" spans="1:8">
      <c r="A23" s="16" t="str">
        <f>PARÁMETROS!A9</f>
        <v>BOLSA DE BASURA</v>
      </c>
      <c r="B23" s="200" t="str">
        <f>PARÁMETROS!B9</f>
        <v>UNIDAD</v>
      </c>
      <c r="C23" s="88">
        <f>PARÁMETROS!C9</f>
        <v>49.84</v>
      </c>
      <c r="D23" s="195"/>
      <c r="E23" s="137">
        <f t="shared" si="1"/>
        <v>0</v>
      </c>
      <c r="F23" s="88">
        <f t="shared" si="2"/>
        <v>0</v>
      </c>
      <c r="G23" s="10">
        <f t="shared" si="3"/>
        <v>0</v>
      </c>
      <c r="H23" s="31">
        <f t="shared" si="0"/>
        <v>0</v>
      </c>
    </row>
    <row r="24" spans="1:8">
      <c r="A24" s="16" t="str">
        <f>PARÁMETROS!A14</f>
        <v>COLETO</v>
      </c>
      <c r="B24" s="200" t="str">
        <f>PARÁMETROS!B14</f>
        <v>UNIDAD</v>
      </c>
      <c r="C24" s="88">
        <f>PARÁMETROS!C14</f>
        <v>0</v>
      </c>
      <c r="D24" s="195"/>
      <c r="E24" s="137">
        <f t="shared" si="1"/>
        <v>0</v>
      </c>
      <c r="F24" s="88">
        <f t="shared" si="2"/>
        <v>0</v>
      </c>
      <c r="G24" s="10">
        <f t="shared" si="3"/>
        <v>0</v>
      </c>
      <c r="H24" s="31">
        <f t="shared" si="0"/>
        <v>0</v>
      </c>
    </row>
    <row r="25" spans="1:8">
      <c r="A25" s="16" t="str">
        <f>PARÁMETROS!A33</f>
        <v xml:space="preserve">FÓSFOROS </v>
      </c>
      <c r="B25" s="200" t="str">
        <f>PARÁMETROS!B33</f>
        <v>C.GRDE</v>
      </c>
      <c r="C25" s="88">
        <f>PARÁMETROS!C33</f>
        <v>1.63</v>
      </c>
      <c r="D25" s="195"/>
      <c r="E25" s="197">
        <f t="shared" si="1"/>
        <v>0</v>
      </c>
      <c r="F25" s="88">
        <f t="shared" si="2"/>
        <v>0</v>
      </c>
      <c r="G25" s="11">
        <f t="shared" si="3"/>
        <v>0</v>
      </c>
      <c r="H25" s="50">
        <f t="shared" si="0"/>
        <v>0</v>
      </c>
    </row>
    <row r="26" spans="1:8">
      <c r="A26" s="291" t="s">
        <v>38</v>
      </c>
      <c r="B26" s="292"/>
      <c r="C26" s="292"/>
      <c r="D26" s="292"/>
      <c r="E26" s="293"/>
      <c r="F26" s="80">
        <f>SUM(F6:F25)</f>
        <v>23723.244159507693</v>
      </c>
      <c r="G26" s="80">
        <f>SUM(G6:G25)</f>
        <v>697.74247527963803</v>
      </c>
      <c r="H26" s="81">
        <f>G26/G$28</f>
        <v>0.81204190234657037</v>
      </c>
    </row>
    <row r="27" spans="1:8">
      <c r="A27" s="4" t="str">
        <f>PARÁMETROS!A67</f>
        <v>MANO DE OBRA</v>
      </c>
      <c r="B27" s="5" t="str">
        <f>PARÁMETROS!B67</f>
        <v xml:space="preserve">JORNAL </v>
      </c>
      <c r="C27" s="6">
        <f>PARÁMETROS!C67</f>
        <v>1830.3553997660001</v>
      </c>
      <c r="D27" s="61">
        <v>3</v>
      </c>
      <c r="E27" s="74">
        <f>D27/F3</f>
        <v>8.8235294117647065E-2</v>
      </c>
      <c r="F27" s="6">
        <f>D27*C27</f>
        <v>5491.0661992980004</v>
      </c>
      <c r="G27" s="6">
        <f>F27/F3</f>
        <v>161.50194703817647</v>
      </c>
      <c r="H27" s="49">
        <f>G27/G$28</f>
        <v>0.18795809765342958</v>
      </c>
    </row>
    <row r="28" spans="1:8">
      <c r="A28" s="294" t="s">
        <v>39</v>
      </c>
      <c r="B28" s="294"/>
      <c r="C28" s="294"/>
      <c r="D28" s="294"/>
      <c r="E28" s="294"/>
      <c r="F28" s="80">
        <f>F26+F27</f>
        <v>29214.310358805691</v>
      </c>
      <c r="G28" s="80">
        <f>G26+G27</f>
        <v>859.2444223178145</v>
      </c>
      <c r="H28" s="81">
        <f>G28/G$28</f>
        <v>1</v>
      </c>
    </row>
    <row r="30" spans="1:8">
      <c r="A30" s="5" t="s">
        <v>87</v>
      </c>
      <c r="B30" s="60"/>
    </row>
  </sheetData>
  <mergeCells count="13">
    <mergeCell ref="A26:E26"/>
    <mergeCell ref="A28:E28"/>
    <mergeCell ref="A1:A3"/>
    <mergeCell ref="B1:C1"/>
    <mergeCell ref="D1:G1"/>
    <mergeCell ref="H1:H5"/>
    <mergeCell ref="B2:C2"/>
    <mergeCell ref="D2:G2"/>
    <mergeCell ref="B3:E3"/>
    <mergeCell ref="F3:G3"/>
    <mergeCell ref="A4:C4"/>
    <mergeCell ref="D4:E4"/>
    <mergeCell ref="F4:G4"/>
  </mergeCells>
  <printOptions horizontalCentered="1" verticalCentered="1" gridLines="1"/>
  <pageMargins left="0.70866141732283472" right="0.70866141732283472" top="0.74803149606299213" bottom="0.74803149606299213" header="0.31496062992125984" footer="0.31496062992125984"/>
  <pageSetup scale="85" orientation="landscape" horizontalDpi="1200" verticalDpi="1200" r:id="rId1"/>
  <headerFooter>
    <oddFooter>&amp;RMERMELADA DE GUAYABA  1KG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D20" sqref="D20"/>
    </sheetView>
  </sheetViews>
  <sheetFormatPr baseColWidth="10" defaultRowHeight="15"/>
  <cols>
    <col min="1" max="1" width="49.42578125" style="2" bestFit="1" customWidth="1"/>
    <col min="2" max="16384" width="11.42578125" style="2"/>
  </cols>
  <sheetData>
    <row r="1" spans="1:8">
      <c r="A1" s="329" t="s">
        <v>148</v>
      </c>
      <c r="B1" s="238" t="s">
        <v>41</v>
      </c>
      <c r="C1" s="239"/>
      <c r="D1" s="246">
        <v>42475</v>
      </c>
      <c r="E1" s="247"/>
      <c r="F1" s="247"/>
      <c r="G1" s="247"/>
      <c r="H1" s="236" t="s">
        <v>43</v>
      </c>
    </row>
    <row r="2" spans="1:8">
      <c r="A2" s="330"/>
      <c r="B2" s="238" t="s">
        <v>42</v>
      </c>
      <c r="C2" s="239"/>
      <c r="D2" s="249" t="s">
        <v>170</v>
      </c>
      <c r="E2" s="250"/>
      <c r="F2" s="250"/>
      <c r="G2" s="250"/>
      <c r="H2" s="237"/>
    </row>
    <row r="3" spans="1:8">
      <c r="A3" s="331"/>
      <c r="B3" s="243" t="s">
        <v>37</v>
      </c>
      <c r="C3" s="244"/>
      <c r="D3" s="244"/>
      <c r="E3" s="245"/>
      <c r="F3" s="252">
        <v>360</v>
      </c>
      <c r="G3" s="252"/>
      <c r="H3" s="237"/>
    </row>
    <row r="4" spans="1:8">
      <c r="A4" s="282" t="s">
        <v>91</v>
      </c>
      <c r="B4" s="283"/>
      <c r="C4" s="284"/>
      <c r="D4" s="322" t="s">
        <v>85</v>
      </c>
      <c r="E4" s="323"/>
      <c r="F4" s="324" t="s">
        <v>86</v>
      </c>
      <c r="G4" s="257"/>
      <c r="H4" s="237"/>
    </row>
    <row r="5" spans="1:8">
      <c r="A5" s="202" t="str">
        <f>PARÁMETROS!A1</f>
        <v>MATERIA PRIMA E INSUMOS GAVCA</v>
      </c>
      <c r="B5" s="203" t="str">
        <f>PARÁMETROS!B1</f>
        <v>UNIDAD</v>
      </c>
      <c r="C5" s="203" t="str">
        <f>PARÁMETROS!C1</f>
        <v>COSTO</v>
      </c>
      <c r="D5" s="27" t="s">
        <v>35</v>
      </c>
      <c r="E5" s="26" t="s">
        <v>89</v>
      </c>
      <c r="F5" s="27" t="s">
        <v>35</v>
      </c>
      <c r="G5" s="193" t="s">
        <v>89</v>
      </c>
      <c r="H5" s="237"/>
    </row>
    <row r="6" spans="1:8">
      <c r="A6" s="16" t="str">
        <f>PARÁMETROS!A50</f>
        <v>MORA</v>
      </c>
      <c r="B6" s="200" t="str">
        <f>PARÁMETROS!B50</f>
        <v>KILO</v>
      </c>
      <c r="C6" s="88">
        <f>PARÁMETROS!C50</f>
        <v>650</v>
      </c>
      <c r="D6" s="61">
        <v>70</v>
      </c>
      <c r="E6" s="192">
        <f>D6/F$3</f>
        <v>0.19444444444444445</v>
      </c>
      <c r="F6" s="10">
        <f>D6*C6</f>
        <v>45500</v>
      </c>
      <c r="G6" s="88">
        <f>F6/F$3</f>
        <v>126.38888888888889</v>
      </c>
      <c r="H6" s="31">
        <f t="shared" ref="H6:H27" si="0">G6/G$27</f>
        <v>0.55610598787777255</v>
      </c>
    </row>
    <row r="7" spans="1:8">
      <c r="A7" s="16" t="str">
        <f>PARÁMETROS!A8</f>
        <v>AZÚCAR</v>
      </c>
      <c r="B7" s="200" t="str">
        <f>PARÁMETROS!B8</f>
        <v>KILO</v>
      </c>
      <c r="C7" s="201">
        <f>PARÁMETROS!C8</f>
        <v>300</v>
      </c>
      <c r="D7" s="61">
        <v>44.8</v>
      </c>
      <c r="E7" s="192">
        <f t="shared" ref="E7:E24" si="1">D7/F$3</f>
        <v>0.12444444444444444</v>
      </c>
      <c r="F7" s="10">
        <f t="shared" ref="F7:F24" si="2">D7*C7</f>
        <v>13440</v>
      </c>
      <c r="G7" s="88">
        <f t="shared" ref="G7:G24" si="3">F7/F$3</f>
        <v>37.333333333333336</v>
      </c>
      <c r="H7" s="31">
        <f t="shared" si="0"/>
        <v>0.16426515334235745</v>
      </c>
    </row>
    <row r="8" spans="1:8">
      <c r="A8" s="16" t="str">
        <f>PARÁMETROS!A64</f>
        <v>VINAGRE</v>
      </c>
      <c r="B8" s="200" t="str">
        <f>PARÁMETROS!B64</f>
        <v>LITRO</v>
      </c>
      <c r="C8" s="201">
        <f>PARÁMETROS!C64</f>
        <v>255.06</v>
      </c>
      <c r="D8" s="61">
        <v>0.25</v>
      </c>
      <c r="E8" s="192">
        <f t="shared" si="1"/>
        <v>6.9444444444444447E-4</v>
      </c>
      <c r="F8" s="10">
        <f t="shared" si="2"/>
        <v>63.765000000000001</v>
      </c>
      <c r="G8" s="88">
        <f t="shared" si="3"/>
        <v>0.177125</v>
      </c>
      <c r="H8" s="31">
        <f t="shared" si="0"/>
        <v>7.793428201544213E-4</v>
      </c>
    </row>
    <row r="9" spans="1:8">
      <c r="A9" s="16" t="str">
        <f>PARÁMETROS!A39</f>
        <v>FRASCO 200GR</v>
      </c>
      <c r="B9" s="200" t="str">
        <f>PARÁMETROS!B39</f>
        <v>UNIDAD</v>
      </c>
      <c r="C9" s="201">
        <f>PARÁMETROS!C39</f>
        <v>32.03</v>
      </c>
      <c r="D9" s="169">
        <f>F$3</f>
        <v>360</v>
      </c>
      <c r="E9" s="192">
        <f t="shared" si="1"/>
        <v>1</v>
      </c>
      <c r="F9" s="10">
        <f t="shared" si="2"/>
        <v>11530.800000000001</v>
      </c>
      <c r="G9" s="88">
        <f t="shared" si="3"/>
        <v>32.03</v>
      </c>
      <c r="H9" s="31">
        <f t="shared" si="0"/>
        <v>0.14093070164881363</v>
      </c>
    </row>
    <row r="10" spans="1:8">
      <c r="A10" s="16" t="str">
        <f>PARÁMETROS!A27</f>
        <v>ETIQUETA FRASCO DE 200GR</v>
      </c>
      <c r="B10" s="200" t="str">
        <f>PARÁMETROS!B27</f>
        <v>UNIDAD</v>
      </c>
      <c r="C10" s="201">
        <f>PARÁMETROS!C27</f>
        <v>14.8</v>
      </c>
      <c r="D10" s="169">
        <f>F$3</f>
        <v>360</v>
      </c>
      <c r="E10" s="192">
        <f t="shared" si="1"/>
        <v>1</v>
      </c>
      <c r="F10" s="10">
        <f t="shared" si="2"/>
        <v>5328</v>
      </c>
      <c r="G10" s="88">
        <f t="shared" si="3"/>
        <v>14.8</v>
      </c>
      <c r="H10" s="31">
        <f t="shared" si="0"/>
        <v>6.5119400075005981E-2</v>
      </c>
    </row>
    <row r="11" spans="1:8">
      <c r="A11" s="16" t="str">
        <f>PARÁMETROS!A32</f>
        <v>PRESINTO TAPA DE 200GR</v>
      </c>
      <c r="B11" s="200" t="str">
        <f>PARÁMETROS!B32</f>
        <v>UNIDAD</v>
      </c>
      <c r="C11" s="201">
        <f>PARÁMETROS!C32</f>
        <v>0.5</v>
      </c>
      <c r="D11" s="169">
        <f>F$3</f>
        <v>360</v>
      </c>
      <c r="E11" s="192">
        <f t="shared" si="1"/>
        <v>1</v>
      </c>
      <c r="F11" s="10">
        <f t="shared" si="2"/>
        <v>180</v>
      </c>
      <c r="G11" s="88">
        <f t="shared" si="3"/>
        <v>0.5</v>
      </c>
      <c r="H11" s="31">
        <f t="shared" si="0"/>
        <v>2.1999797322637157E-3</v>
      </c>
    </row>
    <row r="12" spans="1:8">
      <c r="A12" s="16" t="str">
        <f>PARÁMETROS!A43</f>
        <v>GUANTES DE LATEX RE-USABLES</v>
      </c>
      <c r="B12" s="200" t="str">
        <f>PARÁMETROS!B43</f>
        <v>PAR</v>
      </c>
      <c r="C12" s="201">
        <f>PARÁMETROS!C43</f>
        <v>335.63</v>
      </c>
      <c r="D12" s="61">
        <f>3/10</f>
        <v>0.3</v>
      </c>
      <c r="E12" s="192">
        <f t="shared" si="1"/>
        <v>8.3333333333333328E-4</v>
      </c>
      <c r="F12" s="10">
        <f t="shared" si="2"/>
        <v>100.68899999999999</v>
      </c>
      <c r="G12" s="88">
        <f t="shared" si="3"/>
        <v>0.27969166666666667</v>
      </c>
      <c r="H12" s="31">
        <f t="shared" si="0"/>
        <v>1.2306319958994515E-3</v>
      </c>
    </row>
    <row r="13" spans="1:8">
      <c r="A13" s="16" t="str">
        <f>PARÁMETROS!A6</f>
        <v>ALCOHOL</v>
      </c>
      <c r="B13" s="200" t="str">
        <f>PARÁMETROS!B6</f>
        <v>LITRO</v>
      </c>
      <c r="C13" s="201">
        <f>PARÁMETROS!C6</f>
        <v>300</v>
      </c>
      <c r="D13" s="61"/>
      <c r="E13" s="192">
        <f t="shared" si="1"/>
        <v>0</v>
      </c>
      <c r="F13" s="10">
        <f t="shared" si="2"/>
        <v>0</v>
      </c>
      <c r="G13" s="88">
        <f t="shared" si="3"/>
        <v>0</v>
      </c>
      <c r="H13" s="31">
        <f t="shared" si="0"/>
        <v>0</v>
      </c>
    </row>
    <row r="14" spans="1:8">
      <c r="A14" s="16" t="str">
        <f>PARÁMETROS!A9</f>
        <v>BOLSA DE BASURA</v>
      </c>
      <c r="B14" s="200" t="str">
        <f>PARÁMETROS!B9</f>
        <v>UNIDAD</v>
      </c>
      <c r="C14" s="201">
        <f>PARÁMETROS!C9</f>
        <v>49.84</v>
      </c>
      <c r="D14" s="61"/>
      <c r="E14" s="192">
        <f t="shared" si="1"/>
        <v>0</v>
      </c>
      <c r="F14" s="10">
        <f t="shared" si="2"/>
        <v>0</v>
      </c>
      <c r="G14" s="88">
        <f t="shared" si="3"/>
        <v>0</v>
      </c>
      <c r="H14" s="31">
        <f t="shared" si="0"/>
        <v>0</v>
      </c>
    </row>
    <row r="15" spans="1:8">
      <c r="A15" s="16" t="str">
        <f>PARÁMETROS!F24</f>
        <v>GAS (COSTO 1% DE CONSUMO)</v>
      </c>
      <c r="B15" s="200" t="str">
        <f>PARÁMETROS!G24</f>
        <v>1%</v>
      </c>
      <c r="C15" s="201">
        <f>PARÁMETROS!H24</f>
        <v>92.307692307692307</v>
      </c>
      <c r="D15" s="61">
        <v>2</v>
      </c>
      <c r="E15" s="192">
        <f t="shared" si="1"/>
        <v>5.5555555555555558E-3</v>
      </c>
      <c r="F15" s="10">
        <f t="shared" si="2"/>
        <v>184.61538461538461</v>
      </c>
      <c r="G15" s="88">
        <f t="shared" si="3"/>
        <v>0.51282051282051277</v>
      </c>
      <c r="H15" s="31">
        <f t="shared" si="0"/>
        <v>2.2563894689884259E-3</v>
      </c>
    </row>
    <row r="16" spans="1:8">
      <c r="A16" s="16" t="str">
        <f>PARÁMETROS!A20</f>
        <v>ELECTRICIDAD</v>
      </c>
      <c r="B16" s="200" t="str">
        <f>PARÁMETROS!B20</f>
        <v>KWH</v>
      </c>
      <c r="C16" s="88">
        <f>PARÁMETROS!C20</f>
        <v>0</v>
      </c>
      <c r="D16" s="61"/>
      <c r="E16" s="192">
        <f t="shared" si="1"/>
        <v>0</v>
      </c>
      <c r="F16" s="10">
        <f t="shared" si="2"/>
        <v>0</v>
      </c>
      <c r="G16" s="88">
        <f t="shared" si="3"/>
        <v>0</v>
      </c>
      <c r="H16" s="31">
        <f t="shared" si="0"/>
        <v>0</v>
      </c>
    </row>
    <row r="17" spans="1:8">
      <c r="A17" s="16" t="str">
        <f>PARÁMETROS!A4</f>
        <v>AGUA</v>
      </c>
      <c r="B17" s="200" t="str">
        <f>PARÁMETROS!B4</f>
        <v>UNITARIO E</v>
      </c>
      <c r="C17" s="88">
        <f>PARÁMETROS!C4</f>
        <v>0</v>
      </c>
      <c r="D17" s="61"/>
      <c r="E17" s="192">
        <f t="shared" si="1"/>
        <v>0</v>
      </c>
      <c r="F17" s="10">
        <f t="shared" si="2"/>
        <v>0</v>
      </c>
      <c r="G17" s="88">
        <f t="shared" si="3"/>
        <v>0</v>
      </c>
      <c r="H17" s="31">
        <f t="shared" si="0"/>
        <v>0</v>
      </c>
    </row>
    <row r="18" spans="1:8">
      <c r="A18" s="16" t="str">
        <f>PARÁMETROS!A18</f>
        <v>DETERGENTE PARA VAJILLAS</v>
      </c>
      <c r="B18" s="200" t="str">
        <f>PARÁMETROS!B18</f>
        <v>LITRO</v>
      </c>
      <c r="C18" s="88">
        <f>PARÁMETROS!C18</f>
        <v>32.06</v>
      </c>
      <c r="D18" s="61"/>
      <c r="E18" s="192">
        <f t="shared" si="1"/>
        <v>0</v>
      </c>
      <c r="F18" s="10">
        <f t="shared" si="2"/>
        <v>0</v>
      </c>
      <c r="G18" s="88">
        <f t="shared" si="3"/>
        <v>0</v>
      </c>
      <c r="H18" s="31">
        <f t="shared" si="0"/>
        <v>0</v>
      </c>
    </row>
    <row r="19" spans="1:8">
      <c r="A19" s="16" t="str">
        <f>PARÁMETROS!A17</f>
        <v>DETERGENTE PARA PISOS</v>
      </c>
      <c r="B19" s="200" t="str">
        <f>PARÁMETROS!B17</f>
        <v>LITRO</v>
      </c>
      <c r="C19" s="88">
        <f>PARÁMETROS!C17</f>
        <v>12.92</v>
      </c>
      <c r="D19" s="61"/>
      <c r="E19" s="192">
        <f t="shared" si="1"/>
        <v>0</v>
      </c>
      <c r="F19" s="10">
        <f t="shared" si="2"/>
        <v>0</v>
      </c>
      <c r="G19" s="88">
        <f t="shared" si="3"/>
        <v>0</v>
      </c>
      <c r="H19" s="31">
        <f t="shared" si="0"/>
        <v>0</v>
      </c>
    </row>
    <row r="20" spans="1:8">
      <c r="A20" s="16" t="str">
        <f>PARÁMETROS!A6</f>
        <v>ALCOHOL</v>
      </c>
      <c r="B20" s="200" t="str">
        <f>PARÁMETROS!B6</f>
        <v>LITRO</v>
      </c>
      <c r="C20" s="88">
        <f>PARÁMETROS!C6</f>
        <v>300</v>
      </c>
      <c r="D20" s="61"/>
      <c r="E20" s="192">
        <f t="shared" si="1"/>
        <v>0</v>
      </c>
      <c r="F20" s="10">
        <f t="shared" si="2"/>
        <v>0</v>
      </c>
      <c r="G20" s="88">
        <f t="shared" si="3"/>
        <v>0</v>
      </c>
      <c r="H20" s="31">
        <f t="shared" si="0"/>
        <v>0</v>
      </c>
    </row>
    <row r="21" spans="1:8">
      <c r="A21" s="16" t="str">
        <f>PARÁMETROS!A22</f>
        <v>ESPONJA DE LIMPIEZA</v>
      </c>
      <c r="B21" s="200" t="str">
        <f>PARÁMETROS!B22</f>
        <v>UNIDAD</v>
      </c>
      <c r="C21" s="88">
        <f>PARÁMETROS!C22</f>
        <v>0</v>
      </c>
      <c r="D21" s="61"/>
      <c r="E21" s="192">
        <f t="shared" si="1"/>
        <v>0</v>
      </c>
      <c r="F21" s="10">
        <f t="shared" si="2"/>
        <v>0</v>
      </c>
      <c r="G21" s="88">
        <f t="shared" si="3"/>
        <v>0</v>
      </c>
      <c r="H21" s="31">
        <f t="shared" si="0"/>
        <v>0</v>
      </c>
    </row>
    <row r="22" spans="1:8">
      <c r="A22" s="16" t="str">
        <f>PARÁMETROS!A9</f>
        <v>BOLSA DE BASURA</v>
      </c>
      <c r="B22" s="200" t="str">
        <f>PARÁMETROS!B9</f>
        <v>UNIDAD</v>
      </c>
      <c r="C22" s="88">
        <f>PARÁMETROS!C9</f>
        <v>49.84</v>
      </c>
      <c r="D22" s="61"/>
      <c r="E22" s="192">
        <f t="shared" si="1"/>
        <v>0</v>
      </c>
      <c r="F22" s="10">
        <f t="shared" si="2"/>
        <v>0</v>
      </c>
      <c r="G22" s="88">
        <f t="shared" si="3"/>
        <v>0</v>
      </c>
      <c r="H22" s="31">
        <f t="shared" si="0"/>
        <v>0</v>
      </c>
    </row>
    <row r="23" spans="1:8">
      <c r="A23" s="16" t="str">
        <f>PARÁMETROS!A14</f>
        <v>COLETO</v>
      </c>
      <c r="B23" s="200" t="str">
        <f>PARÁMETROS!B14</f>
        <v>UNIDAD</v>
      </c>
      <c r="C23" s="88">
        <f>PARÁMETROS!C14</f>
        <v>0</v>
      </c>
      <c r="D23" s="61"/>
      <c r="E23" s="192">
        <f t="shared" si="1"/>
        <v>0</v>
      </c>
      <c r="F23" s="10">
        <f t="shared" si="2"/>
        <v>0</v>
      </c>
      <c r="G23" s="88">
        <f t="shared" si="3"/>
        <v>0</v>
      </c>
      <c r="H23" s="31">
        <f t="shared" si="0"/>
        <v>0</v>
      </c>
    </row>
    <row r="24" spans="1:8">
      <c r="A24" s="16" t="str">
        <f>PARÁMETROS!A33</f>
        <v xml:space="preserve">FÓSFOROS </v>
      </c>
      <c r="B24" s="200" t="str">
        <f>PARÁMETROS!B33</f>
        <v>C.GRDE</v>
      </c>
      <c r="C24" s="88">
        <f>PARÁMETROS!C33</f>
        <v>1.63</v>
      </c>
      <c r="D24" s="61"/>
      <c r="E24" s="192">
        <f t="shared" si="1"/>
        <v>0</v>
      </c>
      <c r="F24" s="11">
        <f t="shared" si="2"/>
        <v>0</v>
      </c>
      <c r="G24" s="88">
        <f t="shared" si="3"/>
        <v>0</v>
      </c>
      <c r="H24" s="50">
        <f t="shared" si="0"/>
        <v>0</v>
      </c>
    </row>
    <row r="25" spans="1:8">
      <c r="A25" s="325" t="s">
        <v>38</v>
      </c>
      <c r="B25" s="326"/>
      <c r="C25" s="326"/>
      <c r="D25" s="326"/>
      <c r="E25" s="327"/>
      <c r="F25" s="204">
        <f>SUM(F6:F24)</f>
        <v>76327.869384615391</v>
      </c>
      <c r="G25" s="204">
        <f>SUM(G6:G24)</f>
        <v>212.02185940170943</v>
      </c>
      <c r="H25" s="205">
        <f t="shared" si="0"/>
        <v>0.93288758696125573</v>
      </c>
    </row>
    <row r="26" spans="1:8">
      <c r="A26" s="4" t="str">
        <f>PARÁMETROS!A67</f>
        <v>MANO DE OBRA</v>
      </c>
      <c r="B26" s="5" t="str">
        <f>PARÁMETROS!B67</f>
        <v xml:space="preserve">JORNAL </v>
      </c>
      <c r="C26" s="6">
        <f>PARÁMETROS!C67</f>
        <v>1830.3553997660001</v>
      </c>
      <c r="D26" s="61">
        <v>3</v>
      </c>
      <c r="E26" s="74">
        <f>D26/F3</f>
        <v>8.3333333333333332E-3</v>
      </c>
      <c r="F26" s="6">
        <f>D26*C26</f>
        <v>5491.0661992980004</v>
      </c>
      <c r="G26" s="6">
        <f>F26/F3</f>
        <v>15.252961664716668</v>
      </c>
      <c r="H26" s="49">
        <f t="shared" si="0"/>
        <v>6.7112413038744184E-2</v>
      </c>
    </row>
    <row r="27" spans="1:8">
      <c r="A27" s="328" t="s">
        <v>39</v>
      </c>
      <c r="B27" s="328"/>
      <c r="C27" s="328"/>
      <c r="D27" s="328"/>
      <c r="E27" s="328"/>
      <c r="F27" s="204">
        <f>F25+F26</f>
        <v>81818.935583913393</v>
      </c>
      <c r="G27" s="204">
        <f>G25+G26</f>
        <v>227.27482106642611</v>
      </c>
      <c r="H27" s="205">
        <f t="shared" si="0"/>
        <v>1</v>
      </c>
    </row>
    <row r="29" spans="1:8">
      <c r="A29" s="5" t="s">
        <v>87</v>
      </c>
      <c r="B29" s="60"/>
    </row>
  </sheetData>
  <mergeCells count="13">
    <mergeCell ref="H1:H5"/>
    <mergeCell ref="B2:C2"/>
    <mergeCell ref="D2:G2"/>
    <mergeCell ref="B3:E3"/>
    <mergeCell ref="F3:G3"/>
    <mergeCell ref="A4:C4"/>
    <mergeCell ref="D4:E4"/>
    <mergeCell ref="F4:G4"/>
    <mergeCell ref="A25:E25"/>
    <mergeCell ref="A27:E27"/>
    <mergeCell ref="A1:A3"/>
    <mergeCell ref="B1:C1"/>
    <mergeCell ref="D1:G1"/>
  </mergeCells>
  <printOptions horizontalCentered="1" verticalCentered="1" gridLines="1"/>
  <pageMargins left="0.70866141732283472" right="0.70866141732283472" top="0.74803149606299213" bottom="0.74803149606299213" header="0.31496062992125984" footer="0.31496062992125984"/>
  <pageSetup scale="85" orientation="landscape" r:id="rId1"/>
  <headerFooter>
    <oddFooter>&amp;RMERMELADA MORA 200GR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D16" sqref="D16"/>
    </sheetView>
  </sheetViews>
  <sheetFormatPr baseColWidth="10" defaultRowHeight="15"/>
  <cols>
    <col min="1" max="1" width="49.42578125" style="2" bestFit="1" customWidth="1"/>
    <col min="2" max="16384" width="11.42578125" style="2"/>
  </cols>
  <sheetData>
    <row r="1" spans="1:8">
      <c r="A1" s="336" t="s">
        <v>151</v>
      </c>
      <c r="B1" s="238" t="s">
        <v>41</v>
      </c>
      <c r="C1" s="239"/>
      <c r="D1" s="246">
        <v>42473</v>
      </c>
      <c r="E1" s="247"/>
      <c r="F1" s="247"/>
      <c r="G1" s="247"/>
      <c r="H1" s="236" t="s">
        <v>43</v>
      </c>
    </row>
    <row r="2" spans="1:8">
      <c r="A2" s="337"/>
      <c r="B2" s="238" t="s">
        <v>42</v>
      </c>
      <c r="C2" s="239"/>
      <c r="D2" s="249" t="s">
        <v>168</v>
      </c>
      <c r="E2" s="250"/>
      <c r="F2" s="250"/>
      <c r="G2" s="250"/>
      <c r="H2" s="237"/>
    </row>
    <row r="3" spans="1:8">
      <c r="A3" s="338"/>
      <c r="B3" s="243"/>
      <c r="C3" s="244"/>
      <c r="D3" s="244"/>
      <c r="E3" s="245"/>
      <c r="F3" s="252">
        <v>158</v>
      </c>
      <c r="G3" s="252"/>
      <c r="H3" s="237"/>
    </row>
    <row r="4" spans="1:8">
      <c r="A4" s="282" t="s">
        <v>91</v>
      </c>
      <c r="B4" s="283"/>
      <c r="C4" s="284"/>
      <c r="D4" s="322" t="s">
        <v>85</v>
      </c>
      <c r="E4" s="323"/>
      <c r="F4" s="324" t="s">
        <v>86</v>
      </c>
      <c r="G4" s="257"/>
      <c r="H4" s="237"/>
    </row>
    <row r="5" spans="1:8">
      <c r="A5" s="207" t="str">
        <f>PARÁMETROS!A1</f>
        <v>MATERIA PRIMA E INSUMOS GAVCA</v>
      </c>
      <c r="B5" s="208" t="str">
        <f>PARÁMETROS!B1</f>
        <v>UNIDAD</v>
      </c>
      <c r="C5" s="208" t="str">
        <f>PARÁMETROS!C1</f>
        <v>COSTO</v>
      </c>
      <c r="D5" s="27" t="s">
        <v>35</v>
      </c>
      <c r="E5" s="26" t="s">
        <v>89</v>
      </c>
      <c r="F5" s="27" t="s">
        <v>35</v>
      </c>
      <c r="G5" s="193" t="s">
        <v>89</v>
      </c>
      <c r="H5" s="237"/>
    </row>
    <row r="6" spans="1:8">
      <c r="A6" s="2" t="str">
        <f>PARÁMETROS!A53</f>
        <v>PIÑA</v>
      </c>
      <c r="B6" s="3" t="str">
        <f>PARÁMETROS!B53</f>
        <v>KILO</v>
      </c>
      <c r="C6" s="32">
        <f>PARÁMETROS!C53</f>
        <v>300</v>
      </c>
      <c r="D6" s="61">
        <v>78</v>
      </c>
      <c r="E6" s="72">
        <f>D6/F$3</f>
        <v>0.49367088607594939</v>
      </c>
      <c r="F6" s="10">
        <f>D6*C6</f>
        <v>23400</v>
      </c>
      <c r="G6" s="32">
        <f>F6/F$3</f>
        <v>148.1012658227848</v>
      </c>
      <c r="H6" s="31">
        <f t="shared" ref="H6:H27" si="0">G6/G$27</f>
        <v>0.54059688685033702</v>
      </c>
    </row>
    <row r="7" spans="1:8">
      <c r="A7" s="2" t="str">
        <f>PARÁMETROS!A8</f>
        <v>AZÚCAR</v>
      </c>
      <c r="B7" s="3" t="str">
        <f>PARÁMETROS!B8</f>
        <v>KILO</v>
      </c>
      <c r="C7" s="162">
        <f>PARÁMETROS!C8</f>
        <v>300</v>
      </c>
      <c r="D7" s="61">
        <v>21.7</v>
      </c>
      <c r="E7" s="72">
        <f t="shared" ref="E7:E24" si="1">D7/F$3</f>
        <v>0.13734177215189872</v>
      </c>
      <c r="F7" s="10">
        <f t="shared" ref="F7:F24" si="2">D7*C7</f>
        <v>6510</v>
      </c>
      <c r="G7" s="32">
        <f t="shared" ref="G7:G24" si="3">F7/F$3</f>
        <v>41.202531645569621</v>
      </c>
      <c r="H7" s="31">
        <f t="shared" si="0"/>
        <v>0.15039682621349124</v>
      </c>
    </row>
    <row r="8" spans="1:8">
      <c r="A8" s="2" t="str">
        <f>PARÁMETROS!A64</f>
        <v>VINAGRE</v>
      </c>
      <c r="B8" s="3" t="str">
        <f>PARÁMETROS!B64</f>
        <v>LITRO</v>
      </c>
      <c r="C8" s="162">
        <f>PARÁMETROS!C64</f>
        <v>255.06</v>
      </c>
      <c r="D8" s="61">
        <v>0.25</v>
      </c>
      <c r="E8" s="72">
        <f t="shared" si="1"/>
        <v>1.5822784810126582E-3</v>
      </c>
      <c r="F8" s="10">
        <f t="shared" si="2"/>
        <v>63.765000000000001</v>
      </c>
      <c r="G8" s="32">
        <f t="shared" si="3"/>
        <v>0.40357594936708863</v>
      </c>
      <c r="H8" s="31">
        <f t="shared" si="0"/>
        <v>1.4731265166671686E-3</v>
      </c>
    </row>
    <row r="9" spans="1:8">
      <c r="A9" s="2" t="str">
        <f>PARÁMETROS!A39</f>
        <v>FRASCO 200GR</v>
      </c>
      <c r="B9" s="3" t="str">
        <f>PARÁMETROS!B39</f>
        <v>UNIDAD</v>
      </c>
      <c r="C9" s="162">
        <f>PARÁMETROS!C39</f>
        <v>32.03</v>
      </c>
      <c r="D9" s="169">
        <f>F$3</f>
        <v>158</v>
      </c>
      <c r="E9" s="72">
        <f t="shared" si="1"/>
        <v>1</v>
      </c>
      <c r="F9" s="10">
        <f t="shared" si="2"/>
        <v>5060.74</v>
      </c>
      <c r="G9" s="32">
        <f t="shared" si="3"/>
        <v>32.03</v>
      </c>
      <c r="H9" s="31">
        <f t="shared" si="0"/>
        <v>0.11691539697260578</v>
      </c>
    </row>
    <row r="10" spans="1:8">
      <c r="A10" s="2" t="str">
        <f>PARÁMETROS!A27</f>
        <v>ETIQUETA FRASCO DE 200GR</v>
      </c>
      <c r="B10" s="3" t="str">
        <f>PARÁMETROS!B27</f>
        <v>UNIDAD</v>
      </c>
      <c r="C10" s="162">
        <f>PARÁMETROS!C27</f>
        <v>14.8</v>
      </c>
      <c r="D10" s="169">
        <f>F$3</f>
        <v>158</v>
      </c>
      <c r="E10" s="72">
        <f t="shared" si="1"/>
        <v>1</v>
      </c>
      <c r="F10" s="10">
        <f t="shared" si="2"/>
        <v>2338.4</v>
      </c>
      <c r="G10" s="32">
        <f t="shared" si="3"/>
        <v>14.8</v>
      </c>
      <c r="H10" s="31">
        <f t="shared" si="0"/>
        <v>5.4022724795334549E-2</v>
      </c>
    </row>
    <row r="11" spans="1:8">
      <c r="A11" s="2" t="str">
        <f>PARÁMETROS!A32</f>
        <v>PRESINTO TAPA DE 200GR</v>
      </c>
      <c r="B11" s="3" t="str">
        <f>PARÁMETROS!B32</f>
        <v>UNIDAD</v>
      </c>
      <c r="C11" s="162">
        <f>PARÁMETROS!C32</f>
        <v>0.5</v>
      </c>
      <c r="D11" s="169">
        <f>F$3</f>
        <v>158</v>
      </c>
      <c r="E11" s="72">
        <f t="shared" si="1"/>
        <v>1</v>
      </c>
      <c r="F11" s="10">
        <f t="shared" si="2"/>
        <v>79</v>
      </c>
      <c r="G11" s="32">
        <f t="shared" si="3"/>
        <v>0.5</v>
      </c>
      <c r="H11" s="31">
        <f t="shared" si="0"/>
        <v>1.8250920538964372E-3</v>
      </c>
    </row>
    <row r="12" spans="1:8">
      <c r="A12" s="2" t="str">
        <f>PARÁMETROS!A43</f>
        <v>GUANTES DE LATEX RE-USABLES</v>
      </c>
      <c r="B12" s="3" t="str">
        <f>PARÁMETROS!B43</f>
        <v>PAR</v>
      </c>
      <c r="C12" s="162">
        <f>PARÁMETROS!C43</f>
        <v>335.63</v>
      </c>
      <c r="D12" s="61">
        <f>3/10</f>
        <v>0.3</v>
      </c>
      <c r="E12" s="72">
        <f t="shared" si="1"/>
        <v>1.8987341772151898E-3</v>
      </c>
      <c r="F12" s="10">
        <f t="shared" si="2"/>
        <v>100.68899999999999</v>
      </c>
      <c r="G12" s="32">
        <f t="shared" si="3"/>
        <v>0.6372721518987341</v>
      </c>
      <c r="H12" s="31">
        <f t="shared" si="0"/>
        <v>2.3261606811997258E-3</v>
      </c>
    </row>
    <row r="13" spans="1:8">
      <c r="A13" s="2" t="str">
        <f>PARÁMETROS!A6</f>
        <v>ALCOHOL</v>
      </c>
      <c r="B13" s="3" t="str">
        <f>PARÁMETROS!B6</f>
        <v>LITRO</v>
      </c>
      <c r="C13" s="162">
        <f>PARÁMETROS!C6</f>
        <v>300</v>
      </c>
      <c r="D13" s="61"/>
      <c r="E13" s="72">
        <f t="shared" si="1"/>
        <v>0</v>
      </c>
      <c r="F13" s="10">
        <f t="shared" si="2"/>
        <v>0</v>
      </c>
      <c r="G13" s="32">
        <f t="shared" si="3"/>
        <v>0</v>
      </c>
      <c r="H13" s="31">
        <f t="shared" si="0"/>
        <v>0</v>
      </c>
    </row>
    <row r="14" spans="1:8">
      <c r="A14" s="2" t="str">
        <f>PARÁMETROS!A9</f>
        <v>BOLSA DE BASURA</v>
      </c>
      <c r="B14" s="3" t="str">
        <f>PARÁMETROS!B9</f>
        <v>UNIDAD</v>
      </c>
      <c r="C14" s="162">
        <f>PARÁMETROS!C9</f>
        <v>49.84</v>
      </c>
      <c r="D14" s="61">
        <v>1</v>
      </c>
      <c r="E14" s="72">
        <f t="shared" si="1"/>
        <v>6.3291139240506328E-3</v>
      </c>
      <c r="F14" s="10">
        <f>D14*C14</f>
        <v>49.84</v>
      </c>
      <c r="G14" s="32">
        <f t="shared" si="3"/>
        <v>0.31544303797468359</v>
      </c>
      <c r="H14" s="31">
        <f t="shared" si="0"/>
        <v>1.1514251641290942E-3</v>
      </c>
    </row>
    <row r="15" spans="1:8">
      <c r="A15" s="2" t="str">
        <f>PARÁMETROS!F24</f>
        <v>GAS (COSTO 1% DE CONSUMO)</v>
      </c>
      <c r="B15" s="3" t="str">
        <f>PARÁMETROS!G24</f>
        <v>1%</v>
      </c>
      <c r="C15" s="162">
        <f>PARÁMETROS!H24</f>
        <v>92.307692307692307</v>
      </c>
      <c r="D15" s="61">
        <v>1</v>
      </c>
      <c r="E15" s="72">
        <f t="shared" si="1"/>
        <v>6.3291139240506328E-3</v>
      </c>
      <c r="F15" s="10">
        <f t="shared" si="2"/>
        <v>92.307692307692307</v>
      </c>
      <c r="G15" s="32">
        <f t="shared" si="3"/>
        <v>0.58422590068159685</v>
      </c>
      <c r="H15" s="31">
        <f t="shared" si="0"/>
        <v>2.132532098028943E-3</v>
      </c>
    </row>
    <row r="16" spans="1:8">
      <c r="A16" s="2" t="str">
        <f>PARÁMETROS!A20</f>
        <v>ELECTRICIDAD</v>
      </c>
      <c r="B16" s="3" t="str">
        <f>PARÁMETROS!B20</f>
        <v>KWH</v>
      </c>
      <c r="C16" s="32">
        <f>PARÁMETROS!C20</f>
        <v>0</v>
      </c>
      <c r="D16" s="61"/>
      <c r="E16" s="72">
        <f t="shared" si="1"/>
        <v>0</v>
      </c>
      <c r="F16" s="10">
        <f t="shared" si="2"/>
        <v>0</v>
      </c>
      <c r="G16" s="32">
        <f t="shared" si="3"/>
        <v>0</v>
      </c>
      <c r="H16" s="31">
        <f t="shared" si="0"/>
        <v>0</v>
      </c>
    </row>
    <row r="17" spans="1:8">
      <c r="A17" s="2" t="str">
        <f>PARÁMETROS!A4</f>
        <v>AGUA</v>
      </c>
      <c r="B17" s="3" t="str">
        <f>PARÁMETROS!B4</f>
        <v>UNITARIO E</v>
      </c>
      <c r="C17" s="32">
        <f>PARÁMETROS!C4</f>
        <v>0</v>
      </c>
      <c r="D17" s="61"/>
      <c r="E17" s="72">
        <f t="shared" si="1"/>
        <v>0</v>
      </c>
      <c r="F17" s="10">
        <f t="shared" si="2"/>
        <v>0</v>
      </c>
      <c r="G17" s="32">
        <f t="shared" si="3"/>
        <v>0</v>
      </c>
      <c r="H17" s="31">
        <f t="shared" si="0"/>
        <v>0</v>
      </c>
    </row>
    <row r="18" spans="1:8">
      <c r="A18" s="2" t="str">
        <f>PARÁMETROS!A18</f>
        <v>DETERGENTE PARA VAJILLAS</v>
      </c>
      <c r="B18" s="3" t="str">
        <f>PARÁMETROS!B18</f>
        <v>LITRO</v>
      </c>
      <c r="C18" s="32">
        <f>PARÁMETROS!C18</f>
        <v>32.06</v>
      </c>
      <c r="D18" s="61"/>
      <c r="E18" s="72">
        <f t="shared" si="1"/>
        <v>0</v>
      </c>
      <c r="F18" s="10">
        <f t="shared" si="2"/>
        <v>0</v>
      </c>
      <c r="G18" s="32">
        <f t="shared" si="3"/>
        <v>0</v>
      </c>
      <c r="H18" s="31">
        <f t="shared" si="0"/>
        <v>0</v>
      </c>
    </row>
    <row r="19" spans="1:8">
      <c r="A19" s="2" t="str">
        <f>PARÁMETROS!A17</f>
        <v>DETERGENTE PARA PISOS</v>
      </c>
      <c r="B19" s="3" t="str">
        <f>PARÁMETROS!B17</f>
        <v>LITRO</v>
      </c>
      <c r="C19" s="32">
        <f>PARÁMETROS!C17</f>
        <v>12.92</v>
      </c>
      <c r="D19" s="61"/>
      <c r="E19" s="72">
        <f t="shared" si="1"/>
        <v>0</v>
      </c>
      <c r="F19" s="10">
        <f t="shared" si="2"/>
        <v>0</v>
      </c>
      <c r="G19" s="32">
        <f t="shared" si="3"/>
        <v>0</v>
      </c>
      <c r="H19" s="31">
        <f t="shared" si="0"/>
        <v>0</v>
      </c>
    </row>
    <row r="20" spans="1:8">
      <c r="A20" s="2" t="str">
        <f>PARÁMETROS!A6</f>
        <v>ALCOHOL</v>
      </c>
      <c r="B20" s="3" t="str">
        <f>PARÁMETROS!B6</f>
        <v>LITRO</v>
      </c>
      <c r="C20" s="32">
        <f>PARÁMETROS!C6</f>
        <v>300</v>
      </c>
      <c r="D20" s="61"/>
      <c r="E20" s="72">
        <f t="shared" si="1"/>
        <v>0</v>
      </c>
      <c r="F20" s="10">
        <f t="shared" si="2"/>
        <v>0</v>
      </c>
      <c r="G20" s="32">
        <f t="shared" si="3"/>
        <v>0</v>
      </c>
      <c r="H20" s="31">
        <f t="shared" si="0"/>
        <v>0</v>
      </c>
    </row>
    <row r="21" spans="1:8">
      <c r="A21" s="2" t="str">
        <f>PARÁMETROS!A22</f>
        <v>ESPONJA DE LIMPIEZA</v>
      </c>
      <c r="B21" s="3" t="str">
        <f>PARÁMETROS!B22</f>
        <v>UNIDAD</v>
      </c>
      <c r="C21" s="32">
        <f>PARÁMETROS!C22</f>
        <v>0</v>
      </c>
      <c r="D21" s="61"/>
      <c r="E21" s="72">
        <f t="shared" si="1"/>
        <v>0</v>
      </c>
      <c r="F21" s="10">
        <f t="shared" si="2"/>
        <v>0</v>
      </c>
      <c r="G21" s="32">
        <f t="shared" si="3"/>
        <v>0</v>
      </c>
      <c r="H21" s="31">
        <f t="shared" si="0"/>
        <v>0</v>
      </c>
    </row>
    <row r="22" spans="1:8">
      <c r="A22" s="2" t="str">
        <f>PARÁMETROS!A9</f>
        <v>BOLSA DE BASURA</v>
      </c>
      <c r="B22" s="3" t="str">
        <f>PARÁMETROS!B9</f>
        <v>UNIDAD</v>
      </c>
      <c r="C22" s="32">
        <f>PARÁMETROS!C9</f>
        <v>49.84</v>
      </c>
      <c r="D22" s="61">
        <v>2</v>
      </c>
      <c r="E22" s="72">
        <f t="shared" si="1"/>
        <v>1.2658227848101266E-2</v>
      </c>
      <c r="F22" s="10">
        <f t="shared" si="2"/>
        <v>99.68</v>
      </c>
      <c r="G22" s="32">
        <f t="shared" si="3"/>
        <v>0.63088607594936719</v>
      </c>
      <c r="H22" s="31">
        <f t="shared" si="0"/>
        <v>2.3028503282581884E-3</v>
      </c>
    </row>
    <row r="23" spans="1:8">
      <c r="A23" s="2" t="str">
        <f>PARÁMETROS!A14</f>
        <v>COLETO</v>
      </c>
      <c r="B23" s="3" t="str">
        <f>PARÁMETROS!B14</f>
        <v>UNIDAD</v>
      </c>
      <c r="C23" s="32">
        <f>PARÁMETROS!C14</f>
        <v>0</v>
      </c>
      <c r="D23" s="61"/>
      <c r="E23" s="72">
        <f t="shared" si="1"/>
        <v>0</v>
      </c>
      <c r="F23" s="10">
        <f t="shared" si="2"/>
        <v>0</v>
      </c>
      <c r="G23" s="32">
        <f t="shared" si="3"/>
        <v>0</v>
      </c>
      <c r="H23" s="31">
        <f t="shared" si="0"/>
        <v>0</v>
      </c>
    </row>
    <row r="24" spans="1:8">
      <c r="A24" s="2" t="str">
        <f>PARÁMETROS!A33</f>
        <v xml:space="preserve">FÓSFOROS </v>
      </c>
      <c r="B24" s="3" t="str">
        <f>PARÁMETROS!B33</f>
        <v>C.GRDE</v>
      </c>
      <c r="C24" s="32">
        <f>PARÁMETROS!C33</f>
        <v>1.63</v>
      </c>
      <c r="D24" s="61"/>
      <c r="E24" s="72">
        <f t="shared" si="1"/>
        <v>0</v>
      </c>
      <c r="F24" s="11">
        <f t="shared" si="2"/>
        <v>0</v>
      </c>
      <c r="G24" s="32">
        <f t="shared" si="3"/>
        <v>0</v>
      </c>
      <c r="H24" s="50">
        <f t="shared" si="0"/>
        <v>0</v>
      </c>
    </row>
    <row r="25" spans="1:8">
      <c r="A25" s="332" t="s">
        <v>38</v>
      </c>
      <c r="B25" s="333"/>
      <c r="C25" s="333"/>
      <c r="D25" s="333"/>
      <c r="E25" s="334"/>
      <c r="F25" s="209">
        <f>SUM(F6:F24)</f>
        <v>37794.421692307689</v>
      </c>
      <c r="G25" s="209">
        <f>SUM(G6:G24)</f>
        <v>239.20520058422591</v>
      </c>
      <c r="H25" s="210">
        <f t="shared" si="0"/>
        <v>0.87314302167394819</v>
      </c>
    </row>
    <row r="26" spans="1:8">
      <c r="A26" s="4" t="str">
        <f>PARÁMETROS!A67</f>
        <v>MANO DE OBRA</v>
      </c>
      <c r="B26" s="5" t="str">
        <f>PARÁMETROS!B67</f>
        <v xml:space="preserve">JORNAL </v>
      </c>
      <c r="C26" s="6">
        <f>PARÁMETROS!C67</f>
        <v>1830.3553997660001</v>
      </c>
      <c r="D26" s="61">
        <v>3</v>
      </c>
      <c r="E26" s="74">
        <f>D26/F3</f>
        <v>1.8987341772151899E-2</v>
      </c>
      <c r="F26" s="6">
        <f>D26*C26</f>
        <v>5491.0661992980004</v>
      </c>
      <c r="G26" s="6">
        <f>F26/F3</f>
        <v>34.753583539860763</v>
      </c>
      <c r="H26" s="49">
        <f t="shared" si="0"/>
        <v>0.12685697832605178</v>
      </c>
    </row>
    <row r="27" spans="1:8">
      <c r="A27" s="335" t="s">
        <v>39</v>
      </c>
      <c r="B27" s="335"/>
      <c r="C27" s="335"/>
      <c r="D27" s="335"/>
      <c r="E27" s="335"/>
      <c r="F27" s="209">
        <f>F25+F26</f>
        <v>43285.487891605691</v>
      </c>
      <c r="G27" s="209">
        <f>G25+G26</f>
        <v>273.95878412408666</v>
      </c>
      <c r="H27" s="210">
        <f t="shared" si="0"/>
        <v>1</v>
      </c>
    </row>
    <row r="29" spans="1:8">
      <c r="A29" s="5" t="s">
        <v>87</v>
      </c>
      <c r="B29" s="60"/>
    </row>
  </sheetData>
  <mergeCells count="13">
    <mergeCell ref="A25:E25"/>
    <mergeCell ref="A27:E27"/>
    <mergeCell ref="A1:A3"/>
    <mergeCell ref="B1:C1"/>
    <mergeCell ref="D1:G1"/>
    <mergeCell ref="H1:H5"/>
    <mergeCell ref="B2:C2"/>
    <mergeCell ref="D2:G2"/>
    <mergeCell ref="B3:E3"/>
    <mergeCell ref="F3:G3"/>
    <mergeCell ref="A4:C4"/>
    <mergeCell ref="D4:E4"/>
    <mergeCell ref="F4:G4"/>
  </mergeCells>
  <printOptions horizontalCentered="1" verticalCentered="1" gridLines="1"/>
  <pageMargins left="0.70866141732283472" right="0.70866141732283472" top="0.74803149606299213" bottom="0.74803149606299213" header="0.31496062992125984" footer="0.31496062992125984"/>
  <pageSetup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30"/>
  <sheetViews>
    <sheetView zoomScaleNormal="75" workbookViewId="0">
      <selection activeCell="G28" sqref="G28"/>
    </sheetView>
  </sheetViews>
  <sheetFormatPr baseColWidth="10" defaultRowHeight="15"/>
  <cols>
    <col min="1" max="1" width="48.5703125" style="2" bestFit="1" customWidth="1"/>
    <col min="2" max="16384" width="11.42578125" style="2"/>
  </cols>
  <sheetData>
    <row r="1" spans="1:8">
      <c r="A1" s="319" t="s">
        <v>135</v>
      </c>
      <c r="B1" s="238" t="s">
        <v>41</v>
      </c>
      <c r="C1" s="239"/>
      <c r="D1" s="246">
        <v>42053</v>
      </c>
      <c r="E1" s="247"/>
      <c r="F1" s="247"/>
      <c r="G1" s="247"/>
      <c r="H1" s="236" t="s">
        <v>43</v>
      </c>
    </row>
    <row r="2" spans="1:8">
      <c r="A2" s="320"/>
      <c r="B2" s="238" t="s">
        <v>42</v>
      </c>
      <c r="C2" s="239"/>
      <c r="D2" s="249" t="s">
        <v>145</v>
      </c>
      <c r="E2" s="250"/>
      <c r="F2" s="250"/>
      <c r="G2" s="250"/>
      <c r="H2" s="237"/>
    </row>
    <row r="3" spans="1:8">
      <c r="A3" s="321"/>
      <c r="B3" s="243" t="s">
        <v>37</v>
      </c>
      <c r="C3" s="244"/>
      <c r="D3" s="244"/>
      <c r="E3" s="245"/>
      <c r="F3" s="252">
        <v>4</v>
      </c>
      <c r="G3" s="252"/>
      <c r="H3" s="237"/>
    </row>
    <row r="4" spans="1:8">
      <c r="A4" s="282" t="s">
        <v>91</v>
      </c>
      <c r="B4" s="283"/>
      <c r="C4" s="284"/>
      <c r="D4" s="322" t="s">
        <v>85</v>
      </c>
      <c r="E4" s="323"/>
      <c r="F4" s="256" t="s">
        <v>86</v>
      </c>
      <c r="G4" s="257"/>
      <c r="H4" s="237"/>
    </row>
    <row r="5" spans="1:8">
      <c r="A5" s="161" t="str">
        <f>PARÁMETROS!A1</f>
        <v>MATERIA PRIMA E INSUMOS GAVCA</v>
      </c>
      <c r="B5" s="99" t="str">
        <f>PARÁMETROS!B1</f>
        <v>UNIDAD</v>
      </c>
      <c r="C5" s="99" t="str">
        <f>PARÁMETROS!C1</f>
        <v>COSTO</v>
      </c>
      <c r="D5" s="27" t="s">
        <v>35</v>
      </c>
      <c r="E5" s="27" t="s">
        <v>89</v>
      </c>
      <c r="F5" s="27" t="s">
        <v>35</v>
      </c>
      <c r="G5" s="27" t="s">
        <v>89</v>
      </c>
      <c r="H5" s="278"/>
    </row>
    <row r="6" spans="1:8" s="194" customFormat="1">
      <c r="A6" s="199" t="str">
        <f>PARÁMETROS!A45</f>
        <v>GUAYABA EN PULPA (SUBPRODUCTO DE LOS CASCOS)</v>
      </c>
      <c r="B6" s="189" t="str">
        <f>PARÁMETROS!B45</f>
        <v>KILO</v>
      </c>
      <c r="C6" s="191">
        <f>PARÁMETROS!C45</f>
        <v>15</v>
      </c>
      <c r="D6" s="198">
        <v>0</v>
      </c>
      <c r="E6" s="137">
        <f>D6/F$3</f>
        <v>0</v>
      </c>
      <c r="F6" s="88">
        <f>D6*C6</f>
        <v>0</v>
      </c>
      <c r="G6" s="10">
        <f>F6/F$3</f>
        <v>0</v>
      </c>
      <c r="H6" s="31">
        <f t="shared" ref="H6:H25" si="0">G6/G$28</f>
        <v>0</v>
      </c>
    </row>
    <row r="7" spans="1:8">
      <c r="A7" s="16" t="str">
        <f>PARÁMETROS!A44</f>
        <v>GUAYABA</v>
      </c>
      <c r="B7" s="200" t="str">
        <f>PARÁMETROS!B44</f>
        <v>KILO</v>
      </c>
      <c r="C7" s="201">
        <f>PARÁMETROS!C44</f>
        <v>236.28</v>
      </c>
      <c r="D7" s="195">
        <f>16/50*101.018</f>
        <v>32.325760000000002</v>
      </c>
      <c r="E7" s="137">
        <f>D7/F$3</f>
        <v>8.0814400000000006</v>
      </c>
      <c r="F7" s="88">
        <f>D7*C7</f>
        <v>7637.9305728000008</v>
      </c>
      <c r="G7" s="10">
        <f>F7/F$3</f>
        <v>1909.4826432000002</v>
      </c>
      <c r="H7" s="31">
        <f t="shared" si="0"/>
        <v>0.45935591431680134</v>
      </c>
    </row>
    <row r="8" spans="1:8">
      <c r="A8" s="16" t="str">
        <f>PARÁMETROS!A8</f>
        <v>AZÚCAR</v>
      </c>
      <c r="B8" s="200" t="str">
        <f>PARÁMETROS!B8</f>
        <v>KILO</v>
      </c>
      <c r="C8" s="201">
        <f>PARÁMETROS!C8</f>
        <v>300</v>
      </c>
      <c r="D8" s="195">
        <f>16/50*31.22</f>
        <v>9.9903999999999993</v>
      </c>
      <c r="E8" s="137">
        <f t="shared" ref="E8:E25" si="1">D8/F$3</f>
        <v>2.4975999999999998</v>
      </c>
      <c r="F8" s="88">
        <f t="shared" ref="F8:F25" si="2">D8*C8</f>
        <v>2997.12</v>
      </c>
      <c r="G8" s="10">
        <f t="shared" ref="G8:G25" si="3">F8/F$3</f>
        <v>749.28</v>
      </c>
      <c r="H8" s="31">
        <f t="shared" si="0"/>
        <v>0.18025102281238314</v>
      </c>
    </row>
    <row r="9" spans="1:8">
      <c r="A9" s="16" t="str">
        <f>PARÁMETROS!A64</f>
        <v>VINAGRE</v>
      </c>
      <c r="B9" s="200" t="str">
        <f>PARÁMETROS!B64</f>
        <v>LITRO</v>
      </c>
      <c r="C9" s="201">
        <f>PARÁMETROS!C64</f>
        <v>255.06</v>
      </c>
      <c r="D9" s="195">
        <v>0.25</v>
      </c>
      <c r="E9" s="137">
        <f t="shared" si="1"/>
        <v>6.25E-2</v>
      </c>
      <c r="F9" s="88">
        <f t="shared" si="2"/>
        <v>63.765000000000001</v>
      </c>
      <c r="G9" s="10">
        <f t="shared" si="3"/>
        <v>15.94125</v>
      </c>
      <c r="H9" s="31">
        <f t="shared" si="0"/>
        <v>3.8349170102070025E-3</v>
      </c>
    </row>
    <row r="10" spans="1:8">
      <c r="A10" s="16" t="str">
        <f>PARÁMETROS!A34</f>
        <v>FRASCO 4KG</v>
      </c>
      <c r="B10" s="200" t="str">
        <f>PARÁMETROS!B34</f>
        <v>UNIDAD</v>
      </c>
      <c r="C10" s="14">
        <f>PARÁMETROS!C34</f>
        <v>50.65</v>
      </c>
      <c r="D10" s="196">
        <f>F$3</f>
        <v>4</v>
      </c>
      <c r="E10" s="137">
        <f t="shared" si="1"/>
        <v>1</v>
      </c>
      <c r="F10" s="88">
        <f t="shared" si="2"/>
        <v>202.6</v>
      </c>
      <c r="G10" s="10">
        <f t="shared" si="3"/>
        <v>50.65</v>
      </c>
      <c r="H10" s="31">
        <f t="shared" si="0"/>
        <v>1.218464967094705E-2</v>
      </c>
    </row>
    <row r="11" spans="1:8">
      <c r="A11" s="16" t="str">
        <f>PARÁMETROS!A23</f>
        <v>ETIQUETA FRASCO DE 4KG</v>
      </c>
      <c r="B11" s="200" t="str">
        <f>PARÁMETROS!B23</f>
        <v>UNIDAD</v>
      </c>
      <c r="C11" s="88">
        <f>PARÁMETROS!C23</f>
        <v>10</v>
      </c>
      <c r="D11" s="196">
        <f>F$3</f>
        <v>4</v>
      </c>
      <c r="E11" s="137">
        <f t="shared" si="1"/>
        <v>1</v>
      </c>
      <c r="F11" s="88">
        <f t="shared" si="2"/>
        <v>40</v>
      </c>
      <c r="G11" s="10">
        <f t="shared" si="3"/>
        <v>10</v>
      </c>
      <c r="H11" s="31">
        <f t="shared" si="0"/>
        <v>2.4056564009767131E-3</v>
      </c>
    </row>
    <row r="12" spans="1:8">
      <c r="A12" s="16" t="str">
        <f>PARÁMETROS!A28</f>
        <v>PRESINTO TAPA DE 4KG</v>
      </c>
      <c r="B12" s="200" t="str">
        <f>PARÁMETROS!B28</f>
        <v>UNIDAD</v>
      </c>
      <c r="C12" s="88">
        <f>PARÁMETROS!C28</f>
        <v>0.5</v>
      </c>
      <c r="D12" s="196">
        <f>F$3</f>
        <v>4</v>
      </c>
      <c r="E12" s="137">
        <f t="shared" si="1"/>
        <v>1</v>
      </c>
      <c r="F12" s="88">
        <f t="shared" si="2"/>
        <v>2</v>
      </c>
      <c r="G12" s="10">
        <f t="shared" si="3"/>
        <v>0.5</v>
      </c>
      <c r="H12" s="31">
        <f t="shared" si="0"/>
        <v>1.2028282004883565E-4</v>
      </c>
    </row>
    <row r="13" spans="1:8">
      <c r="A13" s="16" t="str">
        <f>PARÁMETROS!A43</f>
        <v>GUANTES DE LATEX RE-USABLES</v>
      </c>
      <c r="B13" s="200" t="str">
        <f>PARÁMETROS!B43</f>
        <v>PAR</v>
      </c>
      <c r="C13" s="201">
        <f>PARÁMETROS!C43</f>
        <v>335.63</v>
      </c>
      <c r="D13" s="195">
        <f>3/10</f>
        <v>0.3</v>
      </c>
      <c r="E13" s="137">
        <f t="shared" si="1"/>
        <v>7.4999999999999997E-2</v>
      </c>
      <c r="F13" s="88">
        <f t="shared" si="2"/>
        <v>100.68899999999999</v>
      </c>
      <c r="G13" s="10">
        <f t="shared" si="3"/>
        <v>25.172249999999998</v>
      </c>
      <c r="H13" s="31">
        <f t="shared" si="0"/>
        <v>6.055578433948606E-3</v>
      </c>
    </row>
    <row r="14" spans="1:8">
      <c r="A14" s="16" t="str">
        <f>PARÁMETROS!A6</f>
        <v>ALCOHOL</v>
      </c>
      <c r="B14" s="200" t="str">
        <f>PARÁMETROS!B6</f>
        <v>LITRO</v>
      </c>
      <c r="C14" s="201">
        <f>PARÁMETROS!C6</f>
        <v>300</v>
      </c>
      <c r="D14" s="195"/>
      <c r="E14" s="137">
        <f t="shared" si="1"/>
        <v>0</v>
      </c>
      <c r="F14" s="88">
        <f t="shared" si="2"/>
        <v>0</v>
      </c>
      <c r="G14" s="10">
        <f t="shared" si="3"/>
        <v>0</v>
      </c>
      <c r="H14" s="31">
        <f t="shared" si="0"/>
        <v>0</v>
      </c>
    </row>
    <row r="15" spans="1:8">
      <c r="A15" s="16" t="str">
        <f>PARÁMETROS!A9</f>
        <v>BOLSA DE BASURA</v>
      </c>
      <c r="B15" s="200" t="str">
        <f>PARÁMETROS!B9</f>
        <v>UNIDAD</v>
      </c>
      <c r="C15" s="201">
        <f>PARÁMETROS!C9</f>
        <v>49.84</v>
      </c>
      <c r="D15" s="195"/>
      <c r="E15" s="137">
        <f t="shared" si="1"/>
        <v>0</v>
      </c>
      <c r="F15" s="88">
        <f t="shared" si="2"/>
        <v>0</v>
      </c>
      <c r="G15" s="10">
        <f t="shared" si="3"/>
        <v>0</v>
      </c>
      <c r="H15" s="31">
        <f t="shared" si="0"/>
        <v>0</v>
      </c>
    </row>
    <row r="16" spans="1:8">
      <c r="A16" s="16" t="str">
        <f>PARÁMETROS!F24</f>
        <v>GAS (COSTO 1% DE CONSUMO)</v>
      </c>
      <c r="B16" s="200" t="str">
        <f>PARÁMETROS!G24</f>
        <v>1%</v>
      </c>
      <c r="C16" s="201">
        <f>PARÁMETROS!H24</f>
        <v>92.307692307692307</v>
      </c>
      <c r="D16" s="195">
        <v>1</v>
      </c>
      <c r="E16" s="137">
        <f t="shared" si="1"/>
        <v>0.25</v>
      </c>
      <c r="F16" s="88">
        <f t="shared" si="2"/>
        <v>92.307692307692307</v>
      </c>
      <c r="G16" s="10">
        <f t="shared" si="3"/>
        <v>23.076923076923077</v>
      </c>
      <c r="H16" s="31">
        <f t="shared" si="0"/>
        <v>5.551514771484722E-3</v>
      </c>
    </row>
    <row r="17" spans="1:8">
      <c r="A17" s="16" t="str">
        <f>PARÁMETROS!A20</f>
        <v>ELECTRICIDAD</v>
      </c>
      <c r="B17" s="200" t="str">
        <f>PARÁMETROS!B20</f>
        <v>KWH</v>
      </c>
      <c r="C17" s="88">
        <f>PARÁMETROS!C20</f>
        <v>0</v>
      </c>
      <c r="D17" s="195"/>
      <c r="E17" s="137">
        <f t="shared" si="1"/>
        <v>0</v>
      </c>
      <c r="F17" s="88">
        <f t="shared" si="2"/>
        <v>0</v>
      </c>
      <c r="G17" s="10">
        <f t="shared" si="3"/>
        <v>0</v>
      </c>
      <c r="H17" s="31">
        <f t="shared" si="0"/>
        <v>0</v>
      </c>
    </row>
    <row r="18" spans="1:8">
      <c r="A18" s="16" t="str">
        <f>PARÁMETROS!A4</f>
        <v>AGUA</v>
      </c>
      <c r="B18" s="200" t="str">
        <f>PARÁMETROS!B4</f>
        <v>UNITARIO E</v>
      </c>
      <c r="C18" s="88">
        <f>PARÁMETROS!C4</f>
        <v>0</v>
      </c>
      <c r="D18" s="195"/>
      <c r="E18" s="137">
        <f t="shared" si="1"/>
        <v>0</v>
      </c>
      <c r="F18" s="88">
        <f t="shared" si="2"/>
        <v>0</v>
      </c>
      <c r="G18" s="10">
        <f t="shared" si="3"/>
        <v>0</v>
      </c>
      <c r="H18" s="31">
        <f t="shared" si="0"/>
        <v>0</v>
      </c>
    </row>
    <row r="19" spans="1:8">
      <c r="A19" s="16" t="str">
        <f>PARÁMETROS!A18</f>
        <v>DETERGENTE PARA VAJILLAS</v>
      </c>
      <c r="B19" s="200" t="str">
        <f>PARÁMETROS!B18</f>
        <v>LITRO</v>
      </c>
      <c r="C19" s="88">
        <f>PARÁMETROS!C18</f>
        <v>32.06</v>
      </c>
      <c r="D19" s="195"/>
      <c r="E19" s="137">
        <f t="shared" si="1"/>
        <v>0</v>
      </c>
      <c r="F19" s="88">
        <f t="shared" si="2"/>
        <v>0</v>
      </c>
      <c r="G19" s="10">
        <f t="shared" si="3"/>
        <v>0</v>
      </c>
      <c r="H19" s="31">
        <f t="shared" si="0"/>
        <v>0</v>
      </c>
    </row>
    <row r="20" spans="1:8">
      <c r="A20" s="16" t="str">
        <f>PARÁMETROS!A17</f>
        <v>DETERGENTE PARA PISOS</v>
      </c>
      <c r="B20" s="200" t="str">
        <f>PARÁMETROS!B17</f>
        <v>LITRO</v>
      </c>
      <c r="C20" s="88">
        <f>PARÁMETROS!C17</f>
        <v>12.92</v>
      </c>
      <c r="D20" s="195"/>
      <c r="E20" s="137">
        <f t="shared" si="1"/>
        <v>0</v>
      </c>
      <c r="F20" s="88">
        <f t="shared" si="2"/>
        <v>0</v>
      </c>
      <c r="G20" s="10">
        <f t="shared" si="3"/>
        <v>0</v>
      </c>
      <c r="H20" s="31">
        <f t="shared" si="0"/>
        <v>0</v>
      </c>
    </row>
    <row r="21" spans="1:8">
      <c r="A21" s="16" t="str">
        <f>PARÁMETROS!A6</f>
        <v>ALCOHOL</v>
      </c>
      <c r="B21" s="200" t="str">
        <f>PARÁMETROS!B6</f>
        <v>LITRO</v>
      </c>
      <c r="C21" s="88">
        <f>PARÁMETROS!C6</f>
        <v>300</v>
      </c>
      <c r="D21" s="195"/>
      <c r="E21" s="137">
        <f t="shared" si="1"/>
        <v>0</v>
      </c>
      <c r="F21" s="88">
        <f t="shared" si="2"/>
        <v>0</v>
      </c>
      <c r="G21" s="10">
        <f t="shared" si="3"/>
        <v>0</v>
      </c>
      <c r="H21" s="31">
        <f t="shared" si="0"/>
        <v>0</v>
      </c>
    </row>
    <row r="22" spans="1:8">
      <c r="A22" s="16" t="str">
        <f>PARÁMETROS!A22</f>
        <v>ESPONJA DE LIMPIEZA</v>
      </c>
      <c r="B22" s="200" t="str">
        <f>PARÁMETROS!B22</f>
        <v>UNIDAD</v>
      </c>
      <c r="C22" s="88">
        <f>PARÁMETROS!C22</f>
        <v>0</v>
      </c>
      <c r="D22" s="195"/>
      <c r="E22" s="137">
        <f t="shared" si="1"/>
        <v>0</v>
      </c>
      <c r="F22" s="88">
        <f t="shared" si="2"/>
        <v>0</v>
      </c>
      <c r="G22" s="10">
        <f t="shared" si="3"/>
        <v>0</v>
      </c>
      <c r="H22" s="31">
        <f t="shared" si="0"/>
        <v>0</v>
      </c>
    </row>
    <row r="23" spans="1:8">
      <c r="A23" s="16" t="str">
        <f>PARÁMETROS!A9</f>
        <v>BOLSA DE BASURA</v>
      </c>
      <c r="B23" s="200" t="str">
        <f>PARÁMETROS!B9</f>
        <v>UNIDAD</v>
      </c>
      <c r="C23" s="88">
        <f>PARÁMETROS!C9</f>
        <v>49.84</v>
      </c>
      <c r="D23" s="195"/>
      <c r="E23" s="137">
        <f t="shared" si="1"/>
        <v>0</v>
      </c>
      <c r="F23" s="88">
        <f t="shared" si="2"/>
        <v>0</v>
      </c>
      <c r="G23" s="10">
        <f t="shared" si="3"/>
        <v>0</v>
      </c>
      <c r="H23" s="31">
        <f t="shared" si="0"/>
        <v>0</v>
      </c>
    </row>
    <row r="24" spans="1:8">
      <c r="A24" s="16" t="str">
        <f>PARÁMETROS!A14</f>
        <v>COLETO</v>
      </c>
      <c r="B24" s="200" t="str">
        <f>PARÁMETROS!B14</f>
        <v>UNIDAD</v>
      </c>
      <c r="C24" s="88">
        <f>PARÁMETROS!C14</f>
        <v>0</v>
      </c>
      <c r="D24" s="195"/>
      <c r="E24" s="137">
        <f t="shared" si="1"/>
        <v>0</v>
      </c>
      <c r="F24" s="88">
        <f t="shared" si="2"/>
        <v>0</v>
      </c>
      <c r="G24" s="10">
        <f t="shared" si="3"/>
        <v>0</v>
      </c>
      <c r="H24" s="31">
        <f t="shared" si="0"/>
        <v>0</v>
      </c>
    </row>
    <row r="25" spans="1:8">
      <c r="A25" s="16" t="str">
        <f>PARÁMETROS!A33</f>
        <v xml:space="preserve">FÓSFOROS </v>
      </c>
      <c r="B25" s="200" t="str">
        <f>PARÁMETROS!B33</f>
        <v>C.GRDE</v>
      </c>
      <c r="C25" s="88">
        <f>PARÁMETROS!C33</f>
        <v>1.63</v>
      </c>
      <c r="D25" s="195"/>
      <c r="E25" s="197">
        <f t="shared" si="1"/>
        <v>0</v>
      </c>
      <c r="F25" s="88">
        <f t="shared" si="2"/>
        <v>0</v>
      </c>
      <c r="G25" s="11">
        <f t="shared" si="3"/>
        <v>0</v>
      </c>
      <c r="H25" s="50">
        <f t="shared" si="0"/>
        <v>0</v>
      </c>
    </row>
    <row r="26" spans="1:8">
      <c r="A26" s="291" t="s">
        <v>38</v>
      </c>
      <c r="B26" s="292"/>
      <c r="C26" s="292"/>
      <c r="D26" s="292"/>
      <c r="E26" s="293"/>
      <c r="F26" s="80">
        <f>SUM(F6:F25)</f>
        <v>11136.412265107692</v>
      </c>
      <c r="G26" s="80">
        <f>SUM(G6:G25)</f>
        <v>2784.1030662769231</v>
      </c>
      <c r="H26" s="81">
        <f>G26/G$28</f>
        <v>0.6697595362367974</v>
      </c>
    </row>
    <row r="27" spans="1:8">
      <c r="A27" s="4" t="str">
        <f>PARÁMETROS!A67</f>
        <v>MANO DE OBRA</v>
      </c>
      <c r="B27" s="5" t="str">
        <f>PARÁMETROS!B67</f>
        <v xml:space="preserve">JORNAL </v>
      </c>
      <c r="C27" s="6">
        <f>PARÁMETROS!C67</f>
        <v>1830.3553997660001</v>
      </c>
      <c r="D27" s="61">
        <v>3</v>
      </c>
      <c r="E27" s="74">
        <f>D27/F3</f>
        <v>0.75</v>
      </c>
      <c r="F27" s="6">
        <f>D27*C27</f>
        <v>5491.0661992980004</v>
      </c>
      <c r="G27" s="6">
        <f>F27/F3</f>
        <v>1372.7665498245001</v>
      </c>
      <c r="H27" s="49">
        <f>G27/G$28</f>
        <v>0.33024046376320265</v>
      </c>
    </row>
    <row r="28" spans="1:8">
      <c r="A28" s="294" t="s">
        <v>39</v>
      </c>
      <c r="B28" s="294"/>
      <c r="C28" s="294"/>
      <c r="D28" s="294"/>
      <c r="E28" s="294"/>
      <c r="F28" s="80">
        <f>F26+F27</f>
        <v>16627.478464405693</v>
      </c>
      <c r="G28" s="80">
        <f>G26+G27</f>
        <v>4156.8696161014232</v>
      </c>
      <c r="H28" s="81">
        <f>G28/G$28</f>
        <v>1</v>
      </c>
    </row>
    <row r="30" spans="1:8">
      <c r="A30" s="5" t="s">
        <v>87</v>
      </c>
      <c r="B30" s="60"/>
    </row>
  </sheetData>
  <mergeCells count="13">
    <mergeCell ref="A26:E26"/>
    <mergeCell ref="A28:E28"/>
    <mergeCell ref="B2:C2"/>
    <mergeCell ref="D2:G2"/>
    <mergeCell ref="B3:E3"/>
    <mergeCell ref="F3:G3"/>
    <mergeCell ref="H1:H5"/>
    <mergeCell ref="A4:C4"/>
    <mergeCell ref="D4:E4"/>
    <mergeCell ref="F4:G4"/>
    <mergeCell ref="A1:A3"/>
    <mergeCell ref="B1:C1"/>
    <mergeCell ref="D1:G1"/>
  </mergeCells>
  <printOptions horizontalCentered="1" verticalCentered="1" gridLines="1"/>
  <pageMargins left="0.70866141732283472" right="0.70866141732283472" top="0.74803149606299213" bottom="0.74803149606299213" header="0.31496062992125984" footer="0.31496062992125984"/>
  <pageSetup scale="85" orientation="landscape" horizontalDpi="1200" verticalDpi="1200" r:id="rId1"/>
  <headerFooter>
    <oddFooter>&amp;RMERMELADA DE GUAYABA 4KG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D17" sqref="D17"/>
    </sheetView>
  </sheetViews>
  <sheetFormatPr baseColWidth="10" defaultRowHeight="15"/>
  <cols>
    <col min="1" max="1" width="49.42578125" style="2" bestFit="1" customWidth="1"/>
    <col min="2" max="16384" width="11.42578125" style="2"/>
  </cols>
  <sheetData>
    <row r="1" spans="1:8">
      <c r="A1" s="339" t="s">
        <v>160</v>
      </c>
      <c r="B1" s="238" t="s">
        <v>41</v>
      </c>
      <c r="C1" s="239"/>
      <c r="D1" s="246">
        <v>42276</v>
      </c>
      <c r="E1" s="247"/>
      <c r="F1" s="247"/>
      <c r="G1" s="247"/>
      <c r="H1" s="236" t="s">
        <v>43</v>
      </c>
    </row>
    <row r="2" spans="1:8">
      <c r="A2" s="340"/>
      <c r="B2" s="238" t="s">
        <v>42</v>
      </c>
      <c r="C2" s="239"/>
      <c r="D2" s="249" t="s">
        <v>161</v>
      </c>
      <c r="E2" s="250"/>
      <c r="F2" s="250"/>
      <c r="G2" s="250"/>
      <c r="H2" s="237"/>
    </row>
    <row r="3" spans="1:8">
      <c r="A3" s="341"/>
      <c r="B3" s="243" t="s">
        <v>37</v>
      </c>
      <c r="C3" s="244"/>
      <c r="D3" s="244"/>
      <c r="E3" s="245"/>
      <c r="F3" s="252">
        <v>264</v>
      </c>
      <c r="G3" s="252"/>
      <c r="H3" s="237"/>
    </row>
    <row r="4" spans="1:8">
      <c r="A4" s="282" t="s">
        <v>91</v>
      </c>
      <c r="B4" s="283"/>
      <c r="C4" s="284"/>
      <c r="D4" s="322" t="s">
        <v>85</v>
      </c>
      <c r="E4" s="323"/>
      <c r="F4" s="324" t="s">
        <v>86</v>
      </c>
      <c r="G4" s="257"/>
      <c r="H4" s="237"/>
    </row>
    <row r="5" spans="1:8">
      <c r="A5" s="106" t="str">
        <f>PARÁMETROS!A1</f>
        <v>MATERIA PRIMA E INSUMOS GAVCA</v>
      </c>
      <c r="B5" s="107" t="str">
        <f>PARÁMETROS!B1</f>
        <v>UNIDAD</v>
      </c>
      <c r="C5" s="107" t="str">
        <f>PARÁMETROS!C1</f>
        <v>COSTO</v>
      </c>
      <c r="D5" s="27" t="s">
        <v>35</v>
      </c>
      <c r="E5" s="26" t="s">
        <v>89</v>
      </c>
      <c r="F5" s="27" t="s">
        <v>35</v>
      </c>
      <c r="G5" s="193" t="s">
        <v>89</v>
      </c>
      <c r="H5" s="237"/>
    </row>
    <row r="6" spans="1:8">
      <c r="A6" s="16" t="str">
        <f>PARÁMETROS!A40</f>
        <v>FRESA</v>
      </c>
      <c r="B6" s="121" t="str">
        <f>PARÁMETROS!B40</f>
        <v>KILO</v>
      </c>
      <c r="C6" s="16">
        <f>PARÁMETROS!C40</f>
        <v>119.63</v>
      </c>
      <c r="D6" s="61">
        <v>53.5</v>
      </c>
      <c r="E6" s="192">
        <f>D6/F$3</f>
        <v>0.20265151515151514</v>
      </c>
      <c r="F6" s="10">
        <f>D6*C6</f>
        <v>6400.2049999999999</v>
      </c>
      <c r="G6" s="88">
        <f>F6/F$3</f>
        <v>24.243200757575757</v>
      </c>
      <c r="H6" s="31">
        <f t="shared" ref="H6:H27" si="0">G6/G$27</f>
        <v>0.1791651156531511</v>
      </c>
    </row>
    <row r="7" spans="1:8">
      <c r="A7" s="16" t="str">
        <f>PARÁMETROS!A8</f>
        <v>AZÚCAR</v>
      </c>
      <c r="B7" s="200" t="str">
        <f>PARÁMETROS!B8</f>
        <v>KILO</v>
      </c>
      <c r="C7" s="201">
        <f>PARÁMETROS!C8</f>
        <v>300</v>
      </c>
      <c r="D7" s="61">
        <v>35.700000000000003</v>
      </c>
      <c r="E7" s="192">
        <f t="shared" ref="E7:E24" si="1">D7/F$3</f>
        <v>0.13522727272727275</v>
      </c>
      <c r="F7" s="10">
        <f t="shared" ref="F7:F24" si="2">D7*C7</f>
        <v>10710</v>
      </c>
      <c r="G7" s="88">
        <f t="shared" ref="G7:G24" si="3">F7/F$3</f>
        <v>40.56818181818182</v>
      </c>
      <c r="H7" s="31">
        <f t="shared" si="0"/>
        <v>0.29981201987205852</v>
      </c>
    </row>
    <row r="8" spans="1:8">
      <c r="A8" s="16" t="str">
        <f>PARÁMETROS!A64</f>
        <v>VINAGRE</v>
      </c>
      <c r="B8" s="200" t="str">
        <f>PARÁMETROS!B64</f>
        <v>LITRO</v>
      </c>
      <c r="C8" s="201">
        <f>PARÁMETROS!C64</f>
        <v>255.06</v>
      </c>
      <c r="D8" s="61">
        <v>0.25</v>
      </c>
      <c r="E8" s="192">
        <f t="shared" si="1"/>
        <v>9.46969696969697E-4</v>
      </c>
      <c r="F8" s="10">
        <f t="shared" si="2"/>
        <v>63.765000000000001</v>
      </c>
      <c r="G8" s="88">
        <f t="shared" si="3"/>
        <v>0.24153409090909092</v>
      </c>
      <c r="H8" s="31">
        <f t="shared" si="0"/>
        <v>1.7850152611710375E-3</v>
      </c>
    </row>
    <row r="9" spans="1:8">
      <c r="A9" s="16" t="str">
        <f>PARÁMETROS!A39</f>
        <v>FRASCO 200GR</v>
      </c>
      <c r="B9" s="200" t="str">
        <f>PARÁMETROS!B39</f>
        <v>UNIDAD</v>
      </c>
      <c r="C9" s="201">
        <f>PARÁMETROS!C39</f>
        <v>32.03</v>
      </c>
      <c r="D9" s="169">
        <f>F$3</f>
        <v>264</v>
      </c>
      <c r="E9" s="192">
        <f t="shared" si="1"/>
        <v>1</v>
      </c>
      <c r="F9" s="10">
        <f t="shared" si="2"/>
        <v>8455.92</v>
      </c>
      <c r="G9" s="88">
        <f t="shared" si="3"/>
        <v>32.03</v>
      </c>
      <c r="H9" s="31">
        <f t="shared" si="0"/>
        <v>0.23671208730873364</v>
      </c>
    </row>
    <row r="10" spans="1:8">
      <c r="A10" s="16" t="str">
        <f>PARÁMETROS!A27</f>
        <v>ETIQUETA FRASCO DE 200GR</v>
      </c>
      <c r="B10" s="200" t="str">
        <f>PARÁMETROS!B27</f>
        <v>UNIDAD</v>
      </c>
      <c r="C10" s="201">
        <f>PARÁMETROS!C27</f>
        <v>14.8</v>
      </c>
      <c r="D10" s="169">
        <f>F$3</f>
        <v>264</v>
      </c>
      <c r="E10" s="192">
        <f t="shared" si="1"/>
        <v>1</v>
      </c>
      <c r="F10" s="10">
        <f t="shared" si="2"/>
        <v>3907.2000000000003</v>
      </c>
      <c r="G10" s="88">
        <f t="shared" si="3"/>
        <v>14.8</v>
      </c>
      <c r="H10" s="31">
        <f t="shared" si="0"/>
        <v>0.10937679963063558</v>
      </c>
    </row>
    <row r="11" spans="1:8">
      <c r="A11" s="16" t="str">
        <f>PARÁMETROS!A32</f>
        <v>PRESINTO TAPA DE 200GR</v>
      </c>
      <c r="B11" s="200" t="str">
        <f>PARÁMETROS!B32</f>
        <v>UNIDAD</v>
      </c>
      <c r="C11" s="201">
        <f>PARÁMETROS!C32</f>
        <v>0.5</v>
      </c>
      <c r="D11" s="169">
        <f>F$3</f>
        <v>264</v>
      </c>
      <c r="E11" s="192">
        <f t="shared" si="1"/>
        <v>1</v>
      </c>
      <c r="F11" s="10">
        <f t="shared" si="2"/>
        <v>132</v>
      </c>
      <c r="G11" s="88">
        <f t="shared" si="3"/>
        <v>0.5</v>
      </c>
      <c r="H11" s="31">
        <f t="shared" si="0"/>
        <v>3.6951621496836345E-3</v>
      </c>
    </row>
    <row r="12" spans="1:8">
      <c r="A12" s="16" t="str">
        <f>PARÁMETROS!A43</f>
        <v>GUANTES DE LATEX RE-USABLES</v>
      </c>
      <c r="B12" s="200" t="str">
        <f>PARÁMETROS!B43</f>
        <v>PAR</v>
      </c>
      <c r="C12" s="201">
        <f>PARÁMETROS!C43</f>
        <v>335.63</v>
      </c>
      <c r="D12" s="61">
        <f>3/10</f>
        <v>0.3</v>
      </c>
      <c r="E12" s="192">
        <f t="shared" si="1"/>
        <v>1.1363636363636363E-3</v>
      </c>
      <c r="F12" s="10">
        <f t="shared" si="2"/>
        <v>100.68899999999999</v>
      </c>
      <c r="G12" s="88">
        <f t="shared" si="3"/>
        <v>0.38139772727272725</v>
      </c>
      <c r="H12" s="31">
        <f t="shared" si="0"/>
        <v>2.8186528915870868E-3</v>
      </c>
    </row>
    <row r="13" spans="1:8">
      <c r="A13" s="16" t="str">
        <f>PARÁMETROS!A6</f>
        <v>ALCOHOL</v>
      </c>
      <c r="B13" s="200" t="str">
        <f>PARÁMETROS!B6</f>
        <v>LITRO</v>
      </c>
      <c r="C13" s="201">
        <f>PARÁMETROS!C6</f>
        <v>300</v>
      </c>
      <c r="D13" s="61"/>
      <c r="E13" s="192">
        <f t="shared" si="1"/>
        <v>0</v>
      </c>
      <c r="F13" s="10">
        <f t="shared" si="2"/>
        <v>0</v>
      </c>
      <c r="G13" s="88">
        <f t="shared" si="3"/>
        <v>0</v>
      </c>
      <c r="H13" s="31">
        <f t="shared" si="0"/>
        <v>0</v>
      </c>
    </row>
    <row r="14" spans="1:8">
      <c r="A14" s="16" t="str">
        <f>PARÁMETROS!A9</f>
        <v>BOLSA DE BASURA</v>
      </c>
      <c r="B14" s="200" t="str">
        <f>PARÁMETROS!B9</f>
        <v>UNIDAD</v>
      </c>
      <c r="C14" s="201">
        <f>PARÁMETROS!C9</f>
        <v>49.84</v>
      </c>
      <c r="D14" s="61"/>
      <c r="E14" s="192">
        <f t="shared" si="1"/>
        <v>0</v>
      </c>
      <c r="F14" s="10">
        <f t="shared" si="2"/>
        <v>0</v>
      </c>
      <c r="G14" s="88">
        <f t="shared" si="3"/>
        <v>0</v>
      </c>
      <c r="H14" s="31">
        <f t="shared" si="0"/>
        <v>0</v>
      </c>
    </row>
    <row r="15" spans="1:8">
      <c r="A15" s="16" t="str">
        <f>PARÁMETROS!F24</f>
        <v>GAS (COSTO 1% DE CONSUMO)</v>
      </c>
      <c r="B15" s="200" t="str">
        <f>PARÁMETROS!G24</f>
        <v>1%</v>
      </c>
      <c r="C15" s="201">
        <f>PARÁMETROS!H24</f>
        <v>92.307692307692307</v>
      </c>
      <c r="D15" s="61">
        <v>5</v>
      </c>
      <c r="E15" s="192">
        <f t="shared" si="1"/>
        <v>1.893939393939394E-2</v>
      </c>
      <c r="F15" s="10">
        <f t="shared" si="2"/>
        <v>461.53846153846155</v>
      </c>
      <c r="G15" s="88">
        <f t="shared" si="3"/>
        <v>1.7482517482517483</v>
      </c>
      <c r="H15" s="31">
        <f t="shared" si="0"/>
        <v>1.2920147376516205E-2</v>
      </c>
    </row>
    <row r="16" spans="1:8">
      <c r="A16" s="16" t="str">
        <f>PARÁMETROS!A20</f>
        <v>ELECTRICIDAD</v>
      </c>
      <c r="B16" s="200" t="str">
        <f>PARÁMETROS!B20</f>
        <v>KWH</v>
      </c>
      <c r="C16" s="88">
        <f>PARÁMETROS!C20</f>
        <v>0</v>
      </c>
      <c r="D16" s="61"/>
      <c r="E16" s="192">
        <f t="shared" si="1"/>
        <v>0</v>
      </c>
      <c r="F16" s="10">
        <f t="shared" si="2"/>
        <v>0</v>
      </c>
      <c r="G16" s="88">
        <f t="shared" si="3"/>
        <v>0</v>
      </c>
      <c r="H16" s="31">
        <f t="shared" si="0"/>
        <v>0</v>
      </c>
    </row>
    <row r="17" spans="1:8">
      <c r="A17" s="16" t="str">
        <f>PARÁMETROS!A4</f>
        <v>AGUA</v>
      </c>
      <c r="B17" s="200" t="str">
        <f>PARÁMETROS!B4</f>
        <v>UNITARIO E</v>
      </c>
      <c r="C17" s="88">
        <f>PARÁMETROS!C4</f>
        <v>0</v>
      </c>
      <c r="D17" s="61"/>
      <c r="E17" s="192">
        <f t="shared" si="1"/>
        <v>0</v>
      </c>
      <c r="F17" s="10">
        <f t="shared" si="2"/>
        <v>0</v>
      </c>
      <c r="G17" s="88">
        <f t="shared" si="3"/>
        <v>0</v>
      </c>
      <c r="H17" s="31">
        <f t="shared" si="0"/>
        <v>0</v>
      </c>
    </row>
    <row r="18" spans="1:8">
      <c r="A18" s="16" t="str">
        <f>PARÁMETROS!A18</f>
        <v>DETERGENTE PARA VAJILLAS</v>
      </c>
      <c r="B18" s="200" t="str">
        <f>PARÁMETROS!B18</f>
        <v>LITRO</v>
      </c>
      <c r="C18" s="88">
        <f>PARÁMETROS!C18</f>
        <v>32.06</v>
      </c>
      <c r="D18" s="61"/>
      <c r="E18" s="192">
        <f t="shared" si="1"/>
        <v>0</v>
      </c>
      <c r="F18" s="10">
        <f t="shared" si="2"/>
        <v>0</v>
      </c>
      <c r="G18" s="88">
        <f t="shared" si="3"/>
        <v>0</v>
      </c>
      <c r="H18" s="31">
        <f t="shared" si="0"/>
        <v>0</v>
      </c>
    </row>
    <row r="19" spans="1:8">
      <c r="A19" s="16" t="str">
        <f>PARÁMETROS!A17</f>
        <v>DETERGENTE PARA PISOS</v>
      </c>
      <c r="B19" s="200" t="str">
        <f>PARÁMETROS!B17</f>
        <v>LITRO</v>
      </c>
      <c r="C19" s="88">
        <f>PARÁMETROS!C17</f>
        <v>12.92</v>
      </c>
      <c r="D19" s="61"/>
      <c r="E19" s="192">
        <f t="shared" si="1"/>
        <v>0</v>
      </c>
      <c r="F19" s="10">
        <f t="shared" si="2"/>
        <v>0</v>
      </c>
      <c r="G19" s="88">
        <f t="shared" si="3"/>
        <v>0</v>
      </c>
      <c r="H19" s="31">
        <f t="shared" si="0"/>
        <v>0</v>
      </c>
    </row>
    <row r="20" spans="1:8">
      <c r="A20" s="16" t="str">
        <f>PARÁMETROS!A6</f>
        <v>ALCOHOL</v>
      </c>
      <c r="B20" s="200" t="str">
        <f>PARÁMETROS!B6</f>
        <v>LITRO</v>
      </c>
      <c r="C20" s="88">
        <f>PARÁMETROS!C6</f>
        <v>300</v>
      </c>
      <c r="D20" s="61"/>
      <c r="E20" s="192">
        <f t="shared" si="1"/>
        <v>0</v>
      </c>
      <c r="F20" s="10">
        <f t="shared" si="2"/>
        <v>0</v>
      </c>
      <c r="G20" s="88">
        <f t="shared" si="3"/>
        <v>0</v>
      </c>
      <c r="H20" s="31">
        <f t="shared" si="0"/>
        <v>0</v>
      </c>
    </row>
    <row r="21" spans="1:8">
      <c r="A21" s="16" t="str">
        <f>PARÁMETROS!A22</f>
        <v>ESPONJA DE LIMPIEZA</v>
      </c>
      <c r="B21" s="200" t="str">
        <f>PARÁMETROS!B22</f>
        <v>UNIDAD</v>
      </c>
      <c r="C21" s="88">
        <f>PARÁMETROS!C22</f>
        <v>0</v>
      </c>
      <c r="D21" s="61"/>
      <c r="E21" s="192">
        <f t="shared" si="1"/>
        <v>0</v>
      </c>
      <c r="F21" s="10">
        <f t="shared" si="2"/>
        <v>0</v>
      </c>
      <c r="G21" s="88">
        <f t="shared" si="3"/>
        <v>0</v>
      </c>
      <c r="H21" s="31">
        <f t="shared" si="0"/>
        <v>0</v>
      </c>
    </row>
    <row r="22" spans="1:8">
      <c r="A22" s="16" t="str">
        <f>PARÁMETROS!A9</f>
        <v>BOLSA DE BASURA</v>
      </c>
      <c r="B22" s="200" t="str">
        <f>PARÁMETROS!B9</f>
        <v>UNIDAD</v>
      </c>
      <c r="C22" s="88">
        <f>PARÁMETROS!C9</f>
        <v>49.84</v>
      </c>
      <c r="D22" s="61"/>
      <c r="E22" s="192">
        <f t="shared" si="1"/>
        <v>0</v>
      </c>
      <c r="F22" s="10">
        <f t="shared" si="2"/>
        <v>0</v>
      </c>
      <c r="G22" s="88">
        <f t="shared" si="3"/>
        <v>0</v>
      </c>
      <c r="H22" s="31">
        <f t="shared" si="0"/>
        <v>0</v>
      </c>
    </row>
    <row r="23" spans="1:8">
      <c r="A23" s="16" t="str">
        <f>PARÁMETROS!A14</f>
        <v>COLETO</v>
      </c>
      <c r="B23" s="200" t="str">
        <f>PARÁMETROS!B14</f>
        <v>UNIDAD</v>
      </c>
      <c r="C23" s="88">
        <f>PARÁMETROS!C14</f>
        <v>0</v>
      </c>
      <c r="D23" s="61"/>
      <c r="E23" s="192">
        <f t="shared" si="1"/>
        <v>0</v>
      </c>
      <c r="F23" s="10">
        <f t="shared" si="2"/>
        <v>0</v>
      </c>
      <c r="G23" s="88">
        <f t="shared" si="3"/>
        <v>0</v>
      </c>
      <c r="H23" s="31">
        <f t="shared" si="0"/>
        <v>0</v>
      </c>
    </row>
    <row r="24" spans="1:8">
      <c r="A24" s="16" t="str">
        <f>PARÁMETROS!A33</f>
        <v xml:space="preserve">FÓSFOROS </v>
      </c>
      <c r="B24" s="200" t="str">
        <f>PARÁMETROS!B33</f>
        <v>C.GRDE</v>
      </c>
      <c r="C24" s="88">
        <f>PARÁMETROS!C33</f>
        <v>1.63</v>
      </c>
      <c r="D24" s="61"/>
      <c r="E24" s="192">
        <f t="shared" si="1"/>
        <v>0</v>
      </c>
      <c r="F24" s="11">
        <f t="shared" si="2"/>
        <v>0</v>
      </c>
      <c r="G24" s="88">
        <f t="shared" si="3"/>
        <v>0</v>
      </c>
      <c r="H24" s="50">
        <f t="shared" si="0"/>
        <v>0</v>
      </c>
    </row>
    <row r="25" spans="1:8">
      <c r="A25" s="311" t="s">
        <v>38</v>
      </c>
      <c r="B25" s="313"/>
      <c r="C25" s="313"/>
      <c r="D25" s="313"/>
      <c r="E25" s="314"/>
      <c r="F25" s="75">
        <f>SUM(F6:F24)</f>
        <v>30231.31746153846</v>
      </c>
      <c r="G25" s="75">
        <f>SUM(G6:G24)</f>
        <v>114.51256614219113</v>
      </c>
      <c r="H25" s="76">
        <f t="shared" si="0"/>
        <v>0.84628500014353669</v>
      </c>
    </row>
    <row r="26" spans="1:8">
      <c r="A26" s="4" t="str">
        <f>PARÁMETROS!A67</f>
        <v>MANO DE OBRA</v>
      </c>
      <c r="B26" s="5" t="str">
        <f>PARÁMETROS!B67</f>
        <v xml:space="preserve">JORNAL </v>
      </c>
      <c r="C26" s="6">
        <f>PARÁMETROS!C67</f>
        <v>1830.3553997660001</v>
      </c>
      <c r="D26" s="61">
        <v>3</v>
      </c>
      <c r="E26" s="74">
        <f>D26/F3</f>
        <v>1.1363636363636364E-2</v>
      </c>
      <c r="F26" s="6">
        <f>D26*C26</f>
        <v>5491.0661992980004</v>
      </c>
      <c r="G26" s="6">
        <f>F26/F3</f>
        <v>20.799493179159093</v>
      </c>
      <c r="H26" s="49">
        <f t="shared" si="0"/>
        <v>0.15371499985646322</v>
      </c>
    </row>
    <row r="27" spans="1:8">
      <c r="A27" s="315" t="s">
        <v>39</v>
      </c>
      <c r="B27" s="315"/>
      <c r="C27" s="315"/>
      <c r="D27" s="315"/>
      <c r="E27" s="315"/>
      <c r="F27" s="75">
        <f>F25+F26</f>
        <v>35722.383660836458</v>
      </c>
      <c r="G27" s="75">
        <f>G25+G26</f>
        <v>135.31205932135023</v>
      </c>
      <c r="H27" s="76">
        <f t="shared" si="0"/>
        <v>1</v>
      </c>
    </row>
    <row r="29" spans="1:8">
      <c r="A29" s="5" t="s">
        <v>87</v>
      </c>
      <c r="B29" s="60"/>
    </row>
  </sheetData>
  <mergeCells count="13">
    <mergeCell ref="A25:E25"/>
    <mergeCell ref="A27:E27"/>
    <mergeCell ref="H1:H5"/>
    <mergeCell ref="A4:C4"/>
    <mergeCell ref="D4:E4"/>
    <mergeCell ref="F4:G4"/>
    <mergeCell ref="A1:A3"/>
    <mergeCell ref="B1:C1"/>
    <mergeCell ref="D1:G1"/>
    <mergeCell ref="B2:C2"/>
    <mergeCell ref="D2:G2"/>
    <mergeCell ref="B3:E3"/>
    <mergeCell ref="F3:G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headerFooter>
    <oddFooter>&amp;RMERMELADA FRESA 200GR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A29" sqref="A29"/>
    </sheetView>
  </sheetViews>
  <sheetFormatPr baseColWidth="10" defaultRowHeight="15"/>
  <cols>
    <col min="1" max="1" width="43.85546875" style="2" customWidth="1"/>
    <col min="2" max="16384" width="11.42578125" style="2"/>
  </cols>
  <sheetData>
    <row r="1" spans="1:8" ht="15" customHeight="1">
      <c r="A1" s="343" t="s">
        <v>52</v>
      </c>
      <c r="B1" s="238" t="s">
        <v>41</v>
      </c>
      <c r="C1" s="239"/>
      <c r="D1" s="246"/>
      <c r="E1" s="247"/>
      <c r="F1" s="247"/>
      <c r="G1" s="248"/>
      <c r="H1" s="236" t="s">
        <v>43</v>
      </c>
    </row>
    <row r="2" spans="1:8" ht="15" customHeight="1">
      <c r="A2" s="344"/>
      <c r="B2" s="238" t="s">
        <v>42</v>
      </c>
      <c r="C2" s="239"/>
      <c r="D2" s="249"/>
      <c r="E2" s="250"/>
      <c r="F2" s="250"/>
      <c r="G2" s="251"/>
      <c r="H2" s="237"/>
    </row>
    <row r="3" spans="1:8" ht="15" customHeight="1">
      <c r="A3" s="345"/>
      <c r="B3" s="243" t="s">
        <v>37</v>
      </c>
      <c r="C3" s="244"/>
      <c r="D3" s="244"/>
      <c r="E3" s="245"/>
      <c r="F3" s="349">
        <v>100</v>
      </c>
      <c r="G3" s="253"/>
      <c r="H3" s="237"/>
    </row>
    <row r="4" spans="1:8">
      <c r="A4" s="282" t="s">
        <v>91</v>
      </c>
      <c r="B4" s="283"/>
      <c r="C4" s="284"/>
      <c r="D4" s="342" t="s">
        <v>85</v>
      </c>
      <c r="E4" s="323"/>
      <c r="F4" s="256" t="s">
        <v>86</v>
      </c>
      <c r="G4" s="257"/>
      <c r="H4" s="237"/>
    </row>
    <row r="5" spans="1:8">
      <c r="A5" s="109" t="str">
        <f>PARÁMETROS!A1</f>
        <v>MATERIA PRIMA E INSUMOS GAVCA</v>
      </c>
      <c r="B5" s="96" t="str">
        <f>PARÁMETROS!B1</f>
        <v>UNIDAD</v>
      </c>
      <c r="C5" s="96" t="str">
        <f>PARÁMETROS!C1</f>
        <v>COSTO</v>
      </c>
      <c r="D5" s="27" t="s">
        <v>35</v>
      </c>
      <c r="E5" s="27" t="s">
        <v>89</v>
      </c>
      <c r="F5" s="27" t="s">
        <v>35</v>
      </c>
      <c r="G5" s="26" t="s">
        <v>89</v>
      </c>
      <c r="H5" s="278"/>
    </row>
    <row r="6" spans="1:8">
      <c r="B6" s="39"/>
      <c r="C6" s="32"/>
      <c r="D6" s="61"/>
      <c r="E6" s="72">
        <f>D6/F$3</f>
        <v>0</v>
      </c>
      <c r="F6" s="9">
        <f>D6*C6</f>
        <v>0</v>
      </c>
      <c r="G6" s="32">
        <f>F6/F$3</f>
        <v>0</v>
      </c>
      <c r="H6" s="30">
        <f>G6/G$22</f>
        <v>0</v>
      </c>
    </row>
    <row r="7" spans="1:8">
      <c r="B7" s="8"/>
      <c r="C7" s="32"/>
      <c r="D7" s="61"/>
      <c r="E7" s="72">
        <f t="shared" ref="E7:E19" si="0">D7/F$3</f>
        <v>0</v>
      </c>
      <c r="F7" s="10">
        <f t="shared" ref="F7:F19" si="1">D7*C7</f>
        <v>0</v>
      </c>
      <c r="G7" s="32">
        <f t="shared" ref="G7:G18" si="2">F7/F$3</f>
        <v>0</v>
      </c>
      <c r="H7" s="31">
        <f t="shared" ref="H7:H22" si="3">G7/G$22</f>
        <v>0</v>
      </c>
    </row>
    <row r="8" spans="1:8">
      <c r="B8" s="8"/>
      <c r="C8" s="32"/>
      <c r="D8" s="61"/>
      <c r="E8" s="72">
        <f t="shared" si="0"/>
        <v>0</v>
      </c>
      <c r="F8" s="10">
        <f t="shared" si="1"/>
        <v>0</v>
      </c>
      <c r="G8" s="32">
        <f t="shared" si="2"/>
        <v>0</v>
      </c>
      <c r="H8" s="31">
        <f t="shared" si="3"/>
        <v>0</v>
      </c>
    </row>
    <row r="9" spans="1:8">
      <c r="B9" s="8"/>
      <c r="C9" s="32"/>
      <c r="D9" s="61"/>
      <c r="E9" s="72">
        <f t="shared" si="0"/>
        <v>0</v>
      </c>
      <c r="F9" s="10">
        <f t="shared" si="1"/>
        <v>0</v>
      </c>
      <c r="G9" s="32">
        <f t="shared" si="2"/>
        <v>0</v>
      </c>
      <c r="H9" s="31">
        <f t="shared" si="3"/>
        <v>0</v>
      </c>
    </row>
    <row r="10" spans="1:8">
      <c r="B10" s="8"/>
      <c r="C10" s="32"/>
      <c r="D10" s="61"/>
      <c r="E10" s="72">
        <f t="shared" si="0"/>
        <v>0</v>
      </c>
      <c r="F10" s="10">
        <f t="shared" si="1"/>
        <v>0</v>
      </c>
      <c r="G10" s="32">
        <f t="shared" si="2"/>
        <v>0</v>
      </c>
      <c r="H10" s="31">
        <f t="shared" si="3"/>
        <v>0</v>
      </c>
    </row>
    <row r="11" spans="1:8">
      <c r="B11" s="8"/>
      <c r="C11" s="32"/>
      <c r="D11" s="61"/>
      <c r="E11" s="72">
        <f t="shared" si="0"/>
        <v>0</v>
      </c>
      <c r="F11" s="10">
        <f t="shared" si="1"/>
        <v>0</v>
      </c>
      <c r="G11" s="32">
        <f t="shared" si="2"/>
        <v>0</v>
      </c>
      <c r="H11" s="31">
        <f t="shared" si="3"/>
        <v>0</v>
      </c>
    </row>
    <row r="12" spans="1:8">
      <c r="B12" s="8"/>
      <c r="C12" s="32"/>
      <c r="D12" s="61"/>
      <c r="E12" s="72">
        <f t="shared" si="0"/>
        <v>0</v>
      </c>
      <c r="F12" s="10">
        <f t="shared" si="1"/>
        <v>0</v>
      </c>
      <c r="G12" s="32">
        <f t="shared" si="2"/>
        <v>0</v>
      </c>
      <c r="H12" s="31">
        <f t="shared" si="3"/>
        <v>0</v>
      </c>
    </row>
    <row r="13" spans="1:8">
      <c r="B13" s="8"/>
      <c r="C13" s="32"/>
      <c r="D13" s="61"/>
      <c r="E13" s="72">
        <f t="shared" si="0"/>
        <v>0</v>
      </c>
      <c r="F13" s="10">
        <f t="shared" si="1"/>
        <v>0</v>
      </c>
      <c r="G13" s="32">
        <f t="shared" si="2"/>
        <v>0</v>
      </c>
      <c r="H13" s="31">
        <f t="shared" si="3"/>
        <v>0</v>
      </c>
    </row>
    <row r="14" spans="1:8">
      <c r="B14" s="8"/>
      <c r="C14" s="32"/>
      <c r="D14" s="61"/>
      <c r="E14" s="72">
        <f t="shared" si="0"/>
        <v>0</v>
      </c>
      <c r="F14" s="10">
        <f t="shared" si="1"/>
        <v>0</v>
      </c>
      <c r="G14" s="32">
        <f t="shared" si="2"/>
        <v>0</v>
      </c>
      <c r="H14" s="31">
        <f t="shared" si="3"/>
        <v>0</v>
      </c>
    </row>
    <row r="15" spans="1:8">
      <c r="B15" s="8"/>
      <c r="C15" s="32"/>
      <c r="D15" s="61"/>
      <c r="E15" s="72">
        <f t="shared" si="0"/>
        <v>0</v>
      </c>
      <c r="F15" s="10">
        <f t="shared" si="1"/>
        <v>0</v>
      </c>
      <c r="G15" s="32">
        <f t="shared" si="2"/>
        <v>0</v>
      </c>
      <c r="H15" s="31">
        <f t="shared" si="3"/>
        <v>0</v>
      </c>
    </row>
    <row r="16" spans="1:8">
      <c r="B16" s="8"/>
      <c r="C16" s="32"/>
      <c r="D16" s="61"/>
      <c r="E16" s="72">
        <f t="shared" si="0"/>
        <v>0</v>
      </c>
      <c r="F16" s="10">
        <f t="shared" si="1"/>
        <v>0</v>
      </c>
      <c r="G16" s="32">
        <f t="shared" si="2"/>
        <v>0</v>
      </c>
      <c r="H16" s="31">
        <f t="shared" si="3"/>
        <v>0</v>
      </c>
    </row>
    <row r="17" spans="1:8">
      <c r="B17" s="8"/>
      <c r="C17" s="32"/>
      <c r="D17" s="61"/>
      <c r="E17" s="72">
        <f t="shared" si="0"/>
        <v>0</v>
      </c>
      <c r="F17" s="10">
        <f t="shared" si="1"/>
        <v>0</v>
      </c>
      <c r="G17" s="32">
        <f t="shared" si="2"/>
        <v>0</v>
      </c>
      <c r="H17" s="31">
        <f t="shared" si="3"/>
        <v>0</v>
      </c>
    </row>
    <row r="18" spans="1:8">
      <c r="B18" s="8"/>
      <c r="C18" s="32"/>
      <c r="D18" s="61"/>
      <c r="E18" s="72">
        <f t="shared" si="0"/>
        <v>0</v>
      </c>
      <c r="F18" s="10">
        <f t="shared" si="1"/>
        <v>0</v>
      </c>
      <c r="G18" s="32">
        <f t="shared" si="2"/>
        <v>0</v>
      </c>
      <c r="H18" s="31">
        <f t="shared" si="3"/>
        <v>0</v>
      </c>
    </row>
    <row r="19" spans="1:8">
      <c r="B19" s="40"/>
      <c r="C19" s="32"/>
      <c r="D19" s="61"/>
      <c r="E19" s="72">
        <f t="shared" si="0"/>
        <v>0</v>
      </c>
      <c r="F19" s="11">
        <f t="shared" si="1"/>
        <v>0</v>
      </c>
      <c r="G19" s="32">
        <f>F19/F$3</f>
        <v>0</v>
      </c>
      <c r="H19" s="50">
        <f t="shared" si="3"/>
        <v>0</v>
      </c>
    </row>
    <row r="20" spans="1:8">
      <c r="A20" s="346" t="s">
        <v>38</v>
      </c>
      <c r="B20" s="347"/>
      <c r="C20" s="347"/>
      <c r="D20" s="347"/>
      <c r="E20" s="348"/>
      <c r="F20" s="33">
        <f>SUM(F6:F19)</f>
        <v>0</v>
      </c>
      <c r="G20" s="33">
        <f>SUM(G6:G19)</f>
        <v>0</v>
      </c>
      <c r="H20" s="110">
        <f>G20/G$22</f>
        <v>0</v>
      </c>
    </row>
    <row r="21" spans="1:8">
      <c r="A21" s="4" t="str">
        <f>PARÁMETROS!A67</f>
        <v>MANO DE OBRA</v>
      </c>
      <c r="B21" s="5" t="str">
        <f>PARÁMETROS!B67</f>
        <v xml:space="preserve">JORNAL </v>
      </c>
      <c r="C21" s="6">
        <f>PARÁMETROS!C67</f>
        <v>1830.3553997660001</v>
      </c>
      <c r="D21" s="61">
        <v>3</v>
      </c>
      <c r="E21" s="74">
        <f>D21/F3</f>
        <v>0.03</v>
      </c>
      <c r="F21" s="6">
        <f>D21*C21</f>
        <v>5491.0661992980004</v>
      </c>
      <c r="G21" s="6">
        <f>F21/F3</f>
        <v>54.910661992980003</v>
      </c>
      <c r="H21" s="49">
        <f t="shared" si="3"/>
        <v>1</v>
      </c>
    </row>
    <row r="22" spans="1:8">
      <c r="A22" s="346" t="s">
        <v>39</v>
      </c>
      <c r="B22" s="347"/>
      <c r="C22" s="347"/>
      <c r="D22" s="347"/>
      <c r="E22" s="348"/>
      <c r="F22" s="33">
        <f>F20+F21</f>
        <v>5491.0661992980004</v>
      </c>
      <c r="G22" s="33">
        <f>G20+G21</f>
        <v>54.910661992980003</v>
      </c>
      <c r="H22" s="110">
        <f t="shared" si="3"/>
        <v>1</v>
      </c>
    </row>
    <row r="24" spans="1:8">
      <c r="A24" s="5" t="s">
        <v>87</v>
      </c>
      <c r="B24" s="60"/>
    </row>
  </sheetData>
  <mergeCells count="13">
    <mergeCell ref="A22:E22"/>
    <mergeCell ref="B2:C2"/>
    <mergeCell ref="D2:G2"/>
    <mergeCell ref="B3:E3"/>
    <mergeCell ref="F3:G3"/>
    <mergeCell ref="A20:E20"/>
    <mergeCell ref="H1:H5"/>
    <mergeCell ref="A4:C4"/>
    <mergeCell ref="D4:E4"/>
    <mergeCell ref="F4:G4"/>
    <mergeCell ref="A1:A3"/>
    <mergeCell ref="B1:C1"/>
    <mergeCell ref="D1:G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E29" sqref="E29"/>
    </sheetView>
  </sheetViews>
  <sheetFormatPr baseColWidth="10" defaultRowHeight="15"/>
  <cols>
    <col min="1" max="1" width="43.85546875" style="2" customWidth="1"/>
    <col min="2" max="16384" width="11.42578125" style="2"/>
  </cols>
  <sheetData>
    <row r="1" spans="1:8">
      <c r="A1" s="343" t="s">
        <v>52</v>
      </c>
      <c r="B1" s="238" t="s">
        <v>41</v>
      </c>
      <c r="C1" s="239"/>
      <c r="D1" s="246"/>
      <c r="E1" s="247"/>
      <c r="F1" s="247"/>
      <c r="G1" s="247"/>
      <c r="H1" s="236" t="s">
        <v>43</v>
      </c>
    </row>
    <row r="2" spans="1:8">
      <c r="A2" s="350"/>
      <c r="B2" s="238" t="s">
        <v>42</v>
      </c>
      <c r="C2" s="239"/>
      <c r="D2" s="249"/>
      <c r="E2" s="250"/>
      <c r="F2" s="250"/>
      <c r="G2" s="250"/>
      <c r="H2" s="237"/>
    </row>
    <row r="3" spans="1:8">
      <c r="A3" s="351"/>
      <c r="B3" s="243" t="s">
        <v>37</v>
      </c>
      <c r="C3" s="244"/>
      <c r="D3" s="244"/>
      <c r="E3" s="245"/>
      <c r="F3" s="252">
        <v>100</v>
      </c>
      <c r="G3" s="252"/>
      <c r="H3" s="237"/>
    </row>
    <row r="4" spans="1:8">
      <c r="A4" s="282" t="s">
        <v>91</v>
      </c>
      <c r="B4" s="283"/>
      <c r="C4" s="284"/>
      <c r="D4" s="322" t="s">
        <v>85</v>
      </c>
      <c r="E4" s="323"/>
      <c r="F4" s="256" t="s">
        <v>86</v>
      </c>
      <c r="G4" s="257"/>
      <c r="H4" s="237"/>
    </row>
    <row r="5" spans="1:8">
      <c r="A5" s="109" t="str">
        <f>PARÁMETROS!A1</f>
        <v>MATERIA PRIMA E INSUMOS GAVCA</v>
      </c>
      <c r="B5" s="96" t="str">
        <f>PARÁMETROS!B1</f>
        <v>UNIDAD</v>
      </c>
      <c r="C5" s="96" t="str">
        <f>PARÁMETROS!C1</f>
        <v>COSTO</v>
      </c>
      <c r="D5" s="27" t="s">
        <v>35</v>
      </c>
      <c r="E5" s="27" t="s">
        <v>89</v>
      </c>
      <c r="F5" s="27" t="s">
        <v>35</v>
      </c>
      <c r="G5" s="26" t="s">
        <v>89</v>
      </c>
      <c r="H5" s="278"/>
    </row>
    <row r="6" spans="1:8">
      <c r="B6" s="39"/>
      <c r="C6" s="32"/>
      <c r="D6" s="61"/>
      <c r="E6" s="72">
        <f>D6/F$3</f>
        <v>0</v>
      </c>
      <c r="F6" s="9">
        <f>D6*C6</f>
        <v>0</v>
      </c>
      <c r="G6" s="32">
        <f>F6/F$3</f>
        <v>0</v>
      </c>
      <c r="H6" s="30">
        <f>G6/G$22</f>
        <v>0</v>
      </c>
    </row>
    <row r="7" spans="1:8">
      <c r="B7" s="8"/>
      <c r="C7" s="32"/>
      <c r="D7" s="61"/>
      <c r="E7" s="72">
        <f t="shared" ref="E7:E19" si="0">D7/F$3</f>
        <v>0</v>
      </c>
      <c r="F7" s="10">
        <f t="shared" ref="F7:F19" si="1">D7*C7</f>
        <v>0</v>
      </c>
      <c r="G7" s="32">
        <f t="shared" ref="G7:G18" si="2">F7/F$3</f>
        <v>0</v>
      </c>
      <c r="H7" s="31">
        <f t="shared" ref="H7:H22" si="3">G7/G$22</f>
        <v>0</v>
      </c>
    </row>
    <row r="8" spans="1:8">
      <c r="B8" s="8"/>
      <c r="C8" s="32"/>
      <c r="D8" s="61"/>
      <c r="E8" s="72">
        <f t="shared" si="0"/>
        <v>0</v>
      </c>
      <c r="F8" s="10">
        <f t="shared" si="1"/>
        <v>0</v>
      </c>
      <c r="G8" s="32">
        <f t="shared" si="2"/>
        <v>0</v>
      </c>
      <c r="H8" s="31">
        <f t="shared" si="3"/>
        <v>0</v>
      </c>
    </row>
    <row r="9" spans="1:8">
      <c r="B9" s="8"/>
      <c r="C9" s="32"/>
      <c r="D9" s="61"/>
      <c r="E9" s="72">
        <f t="shared" si="0"/>
        <v>0</v>
      </c>
      <c r="F9" s="10">
        <f t="shared" si="1"/>
        <v>0</v>
      </c>
      <c r="G9" s="32">
        <f t="shared" si="2"/>
        <v>0</v>
      </c>
      <c r="H9" s="31">
        <f t="shared" si="3"/>
        <v>0</v>
      </c>
    </row>
    <row r="10" spans="1:8">
      <c r="B10" s="8"/>
      <c r="C10" s="32"/>
      <c r="D10" s="61"/>
      <c r="E10" s="72">
        <f t="shared" si="0"/>
        <v>0</v>
      </c>
      <c r="F10" s="10">
        <f t="shared" si="1"/>
        <v>0</v>
      </c>
      <c r="G10" s="32">
        <f t="shared" si="2"/>
        <v>0</v>
      </c>
      <c r="H10" s="31">
        <f t="shared" si="3"/>
        <v>0</v>
      </c>
    </row>
    <row r="11" spans="1:8">
      <c r="B11" s="8"/>
      <c r="C11" s="32"/>
      <c r="D11" s="61"/>
      <c r="E11" s="72">
        <f t="shared" si="0"/>
        <v>0</v>
      </c>
      <c r="F11" s="10">
        <f t="shared" si="1"/>
        <v>0</v>
      </c>
      <c r="G11" s="32">
        <f t="shared" si="2"/>
        <v>0</v>
      </c>
      <c r="H11" s="31">
        <f t="shared" si="3"/>
        <v>0</v>
      </c>
    </row>
    <row r="12" spans="1:8">
      <c r="B12" s="8"/>
      <c r="C12" s="32"/>
      <c r="D12" s="61"/>
      <c r="E12" s="72">
        <f t="shared" si="0"/>
        <v>0</v>
      </c>
      <c r="F12" s="10">
        <f t="shared" si="1"/>
        <v>0</v>
      </c>
      <c r="G12" s="32">
        <f t="shared" si="2"/>
        <v>0</v>
      </c>
      <c r="H12" s="31">
        <f t="shared" si="3"/>
        <v>0</v>
      </c>
    </row>
    <row r="13" spans="1:8">
      <c r="B13" s="8"/>
      <c r="C13" s="32"/>
      <c r="D13" s="61"/>
      <c r="E13" s="72">
        <f t="shared" si="0"/>
        <v>0</v>
      </c>
      <c r="F13" s="10">
        <f t="shared" si="1"/>
        <v>0</v>
      </c>
      <c r="G13" s="32">
        <f t="shared" si="2"/>
        <v>0</v>
      </c>
      <c r="H13" s="31">
        <f t="shared" si="3"/>
        <v>0</v>
      </c>
    </row>
    <row r="14" spans="1:8">
      <c r="B14" s="8"/>
      <c r="C14" s="32"/>
      <c r="D14" s="61"/>
      <c r="E14" s="72">
        <f t="shared" si="0"/>
        <v>0</v>
      </c>
      <c r="F14" s="10">
        <f t="shared" si="1"/>
        <v>0</v>
      </c>
      <c r="G14" s="32">
        <f t="shared" si="2"/>
        <v>0</v>
      </c>
      <c r="H14" s="31">
        <f t="shared" si="3"/>
        <v>0</v>
      </c>
    </row>
    <row r="15" spans="1:8">
      <c r="B15" s="8"/>
      <c r="C15" s="32"/>
      <c r="D15" s="61"/>
      <c r="E15" s="72">
        <f t="shared" si="0"/>
        <v>0</v>
      </c>
      <c r="F15" s="10">
        <f t="shared" si="1"/>
        <v>0</v>
      </c>
      <c r="G15" s="32">
        <f t="shared" si="2"/>
        <v>0</v>
      </c>
      <c r="H15" s="31">
        <f t="shared" si="3"/>
        <v>0</v>
      </c>
    </row>
    <row r="16" spans="1:8">
      <c r="B16" s="8"/>
      <c r="C16" s="32"/>
      <c r="D16" s="61"/>
      <c r="E16" s="72">
        <f t="shared" si="0"/>
        <v>0</v>
      </c>
      <c r="F16" s="10">
        <f t="shared" si="1"/>
        <v>0</v>
      </c>
      <c r="G16" s="32">
        <f t="shared" si="2"/>
        <v>0</v>
      </c>
      <c r="H16" s="31">
        <f t="shared" si="3"/>
        <v>0</v>
      </c>
    </row>
    <row r="17" spans="1:8">
      <c r="B17" s="8"/>
      <c r="C17" s="32"/>
      <c r="D17" s="61"/>
      <c r="E17" s="72">
        <f t="shared" si="0"/>
        <v>0</v>
      </c>
      <c r="F17" s="10">
        <f t="shared" si="1"/>
        <v>0</v>
      </c>
      <c r="G17" s="32">
        <f t="shared" si="2"/>
        <v>0</v>
      </c>
      <c r="H17" s="31">
        <f t="shared" si="3"/>
        <v>0</v>
      </c>
    </row>
    <row r="18" spans="1:8">
      <c r="B18" s="8"/>
      <c r="C18" s="32"/>
      <c r="D18" s="61"/>
      <c r="E18" s="72">
        <f t="shared" si="0"/>
        <v>0</v>
      </c>
      <c r="F18" s="10">
        <f t="shared" si="1"/>
        <v>0</v>
      </c>
      <c r="G18" s="32">
        <f t="shared" si="2"/>
        <v>0</v>
      </c>
      <c r="H18" s="31">
        <f t="shared" si="3"/>
        <v>0</v>
      </c>
    </row>
    <row r="19" spans="1:8">
      <c r="B19" s="40"/>
      <c r="C19" s="32"/>
      <c r="D19" s="61"/>
      <c r="E19" s="72">
        <f t="shared" si="0"/>
        <v>0</v>
      </c>
      <c r="F19" s="11">
        <f t="shared" si="1"/>
        <v>0</v>
      </c>
      <c r="G19" s="32">
        <f>F19/F$3</f>
        <v>0</v>
      </c>
      <c r="H19" s="50">
        <f t="shared" si="3"/>
        <v>0</v>
      </c>
    </row>
    <row r="20" spans="1:8">
      <c r="A20" s="346" t="s">
        <v>38</v>
      </c>
      <c r="B20" s="347"/>
      <c r="C20" s="347"/>
      <c r="D20" s="347"/>
      <c r="E20" s="348"/>
      <c r="F20" s="33">
        <f>SUM(F6:F19)</f>
        <v>0</v>
      </c>
      <c r="G20" s="33">
        <f>SUM(G6:G19)</f>
        <v>0</v>
      </c>
      <c r="H20" s="110">
        <f>G20/G$22</f>
        <v>0</v>
      </c>
    </row>
    <row r="21" spans="1:8">
      <c r="A21" s="4" t="str">
        <f>PARÁMETROS!A67</f>
        <v>MANO DE OBRA</v>
      </c>
      <c r="B21" s="5" t="str">
        <f>PARÁMETROS!B67</f>
        <v xml:space="preserve">JORNAL </v>
      </c>
      <c r="C21" s="6">
        <f>PARÁMETROS!C67</f>
        <v>1830.3553997660001</v>
      </c>
      <c r="D21" s="61">
        <v>3</v>
      </c>
      <c r="E21" s="74">
        <f>D21/F3</f>
        <v>0.03</v>
      </c>
      <c r="F21" s="6">
        <f>D21*C21</f>
        <v>5491.0661992980004</v>
      </c>
      <c r="G21" s="6">
        <f>F21/F3</f>
        <v>54.910661992980003</v>
      </c>
      <c r="H21" s="49">
        <f t="shared" si="3"/>
        <v>1</v>
      </c>
    </row>
    <row r="22" spans="1:8">
      <c r="A22" s="261" t="s">
        <v>39</v>
      </c>
      <c r="B22" s="261"/>
      <c r="C22" s="261"/>
      <c r="D22" s="261"/>
      <c r="E22" s="261"/>
      <c r="F22" s="33">
        <f>F20+F21</f>
        <v>5491.0661992980004</v>
      </c>
      <c r="G22" s="33">
        <f>G20+G21</f>
        <v>54.910661992980003</v>
      </c>
      <c r="H22" s="110">
        <f t="shared" si="3"/>
        <v>1</v>
      </c>
    </row>
    <row r="24" spans="1:8">
      <c r="A24" s="5" t="s">
        <v>87</v>
      </c>
      <c r="B24" s="60"/>
    </row>
  </sheetData>
  <mergeCells count="13">
    <mergeCell ref="A22:E22"/>
    <mergeCell ref="B2:C2"/>
    <mergeCell ref="D2:G2"/>
    <mergeCell ref="B3:E3"/>
    <mergeCell ref="F3:G3"/>
    <mergeCell ref="A20:E20"/>
    <mergeCell ref="H1:H5"/>
    <mergeCell ref="A4:C4"/>
    <mergeCell ref="D4:E4"/>
    <mergeCell ref="F4:G4"/>
    <mergeCell ref="A1:A3"/>
    <mergeCell ref="B1:C1"/>
    <mergeCell ref="D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6"/>
  <sheetViews>
    <sheetView tabSelected="1" topLeftCell="A19" zoomScale="75" zoomScaleNormal="75" workbookViewId="0">
      <selection activeCell="C6" sqref="C6"/>
    </sheetView>
  </sheetViews>
  <sheetFormatPr baseColWidth="10" defaultRowHeight="15"/>
  <cols>
    <col min="1" max="1" width="48.5703125" customWidth="1"/>
    <col min="2" max="2" width="12.85546875" customWidth="1"/>
    <col min="3" max="3" width="12.5703125" style="2" customWidth="1"/>
    <col min="4" max="5" width="13.7109375" customWidth="1"/>
    <col min="6" max="7" width="13.7109375" style="2" customWidth="1"/>
    <col min="8" max="8" width="10.28515625" customWidth="1"/>
  </cols>
  <sheetData>
    <row r="1" spans="1:8" s="2" customFormat="1">
      <c r="A1" s="240" t="s">
        <v>34</v>
      </c>
      <c r="B1" s="238" t="s">
        <v>41</v>
      </c>
      <c r="C1" s="239"/>
      <c r="D1" s="246">
        <v>42506</v>
      </c>
      <c r="E1" s="247"/>
      <c r="F1" s="247"/>
      <c r="G1" s="248"/>
      <c r="H1" s="236" t="s">
        <v>43</v>
      </c>
    </row>
    <row r="2" spans="1:8" s="2" customFormat="1">
      <c r="A2" s="241"/>
      <c r="B2" s="238" t="s">
        <v>42</v>
      </c>
      <c r="C2" s="239"/>
      <c r="D2" s="249" t="s">
        <v>175</v>
      </c>
      <c r="E2" s="250"/>
      <c r="F2" s="250"/>
      <c r="G2" s="251"/>
      <c r="H2" s="237"/>
    </row>
    <row r="3" spans="1:8" s="2" customFormat="1">
      <c r="A3" s="242"/>
      <c r="B3" s="243" t="s">
        <v>37</v>
      </c>
      <c r="C3" s="244"/>
      <c r="D3" s="244"/>
      <c r="E3" s="245"/>
      <c r="F3" s="252">
        <v>132</v>
      </c>
      <c r="G3" s="253"/>
      <c r="H3" s="237"/>
    </row>
    <row r="4" spans="1:8" s="2" customFormat="1">
      <c r="A4" s="258" t="s">
        <v>90</v>
      </c>
      <c r="B4" s="259"/>
      <c r="C4" s="260"/>
      <c r="D4" s="254" t="s">
        <v>85</v>
      </c>
      <c r="E4" s="255"/>
      <c r="F4" s="256" t="s">
        <v>88</v>
      </c>
      <c r="G4" s="257"/>
      <c r="H4" s="237"/>
    </row>
    <row r="5" spans="1:8" s="15" customFormat="1">
      <c r="A5" s="93" t="str">
        <f>PARÁMETROS!A1</f>
        <v>MATERIA PRIMA E INSUMOS GAVCA</v>
      </c>
      <c r="B5" s="94" t="str">
        <f>PARÁMETROS!B1</f>
        <v>UNIDAD</v>
      </c>
      <c r="C5" s="94" t="str">
        <f>PARÁMETROS!C1</f>
        <v>COSTO</v>
      </c>
      <c r="D5" s="91" t="s">
        <v>35</v>
      </c>
      <c r="E5" s="91" t="s">
        <v>89</v>
      </c>
      <c r="F5" s="91" t="s">
        <v>35</v>
      </c>
      <c r="G5" s="91" t="s">
        <v>89</v>
      </c>
      <c r="H5" s="237"/>
    </row>
    <row r="6" spans="1:8">
      <c r="A6" s="119" t="str">
        <f>PARÁMETROS!A7</f>
        <v xml:space="preserve">ATÚN </v>
      </c>
      <c r="B6" s="120" t="str">
        <f>PARÁMETROS!B7</f>
        <v>KILO</v>
      </c>
      <c r="C6" s="124">
        <f>PARÁMETROS!C7</f>
        <v>1884</v>
      </c>
      <c r="D6" s="129">
        <f>30*0.248</f>
        <v>7.4399999999999995</v>
      </c>
      <c r="E6" s="131">
        <f>D6/F$3</f>
        <v>5.6363636363636359E-2</v>
      </c>
      <c r="F6" s="134">
        <f>D6*$C6</f>
        <v>14016.96</v>
      </c>
      <c r="G6" s="9">
        <f>E6*$C6</f>
        <v>106.18909090909089</v>
      </c>
      <c r="H6" s="30">
        <f t="shared" ref="H6:H32" si="0">G6/G$38</f>
        <v>0.14980456430737191</v>
      </c>
    </row>
    <row r="7" spans="1:8" s="2" customFormat="1">
      <c r="A7" s="16" t="str">
        <f>PARÁMETROS!A2</f>
        <v>ACEITE</v>
      </c>
      <c r="B7" s="121" t="str">
        <f>PARÁMETROS!B2</f>
        <v>LITRO</v>
      </c>
      <c r="C7" s="125">
        <f>PARÁMETROS!C2</f>
        <v>1200</v>
      </c>
      <c r="D7" s="129">
        <v>3</v>
      </c>
      <c r="E7" s="132">
        <f>D7/F$3</f>
        <v>2.2727272727272728E-2</v>
      </c>
      <c r="F7" s="135">
        <f>D7*$C7</f>
        <v>3600</v>
      </c>
      <c r="G7" s="10">
        <f>E7*$C7</f>
        <v>27.272727272727273</v>
      </c>
      <c r="H7" s="31">
        <f t="shared" si="0"/>
        <v>3.8474564492339207E-2</v>
      </c>
    </row>
    <row r="8" spans="1:8">
      <c r="A8" s="16" t="str">
        <f>PARÁMETROS!A63</f>
        <v>VAINITA</v>
      </c>
      <c r="B8" s="121" t="str">
        <f>PARÁMETROS!B63</f>
        <v>KILO</v>
      </c>
      <c r="C8" s="125">
        <f>PARÁMETROS!C63</f>
        <v>360</v>
      </c>
      <c r="D8" s="129">
        <v>9</v>
      </c>
      <c r="E8" s="132">
        <f t="shared" ref="E8:E27" si="1">D8/F$3</f>
        <v>6.8181818181818177E-2</v>
      </c>
      <c r="F8" s="135">
        <f t="shared" ref="F8:F27" si="2">D8*$C8</f>
        <v>3240</v>
      </c>
      <c r="G8" s="10">
        <f t="shared" ref="G8:G27" si="3">E8*$C8</f>
        <v>24.545454545454543</v>
      </c>
      <c r="H8" s="31">
        <f t="shared" si="0"/>
        <v>3.4627108043105287E-2</v>
      </c>
    </row>
    <row r="9" spans="1:8">
      <c r="A9" s="16" t="str">
        <f>PARÁMETROS!A65</f>
        <v>ZANAHORIA</v>
      </c>
      <c r="B9" s="121" t="str">
        <f>PARÁMETROS!B65</f>
        <v>KILO</v>
      </c>
      <c r="C9" s="125">
        <f>PARÁMETROS!C65</f>
        <v>650</v>
      </c>
      <c r="D9" s="129">
        <v>6</v>
      </c>
      <c r="E9" s="132">
        <f t="shared" si="1"/>
        <v>4.5454545454545456E-2</v>
      </c>
      <c r="F9" s="135">
        <f t="shared" si="2"/>
        <v>3900</v>
      </c>
      <c r="G9" s="10">
        <f t="shared" si="3"/>
        <v>29.545454545454547</v>
      </c>
      <c r="H9" s="31">
        <f t="shared" si="0"/>
        <v>4.1680778200034144E-2</v>
      </c>
    </row>
    <row r="10" spans="1:8">
      <c r="A10" s="16" t="str">
        <f>PARÁMETROS!A15</f>
        <v>COLIFLOR</v>
      </c>
      <c r="B10" s="121" t="str">
        <f>PARÁMETROS!B15</f>
        <v>KILO</v>
      </c>
      <c r="C10" s="125">
        <f>PARÁMETROS!C15</f>
        <v>300</v>
      </c>
      <c r="D10" s="129">
        <v>5.5</v>
      </c>
      <c r="E10" s="132">
        <f t="shared" si="1"/>
        <v>4.1666666666666664E-2</v>
      </c>
      <c r="F10" s="135">
        <f t="shared" si="2"/>
        <v>1650</v>
      </c>
      <c r="G10" s="10">
        <f t="shared" si="3"/>
        <v>12.5</v>
      </c>
      <c r="H10" s="31">
        <f t="shared" si="0"/>
        <v>1.7634175392322139E-2</v>
      </c>
    </row>
    <row r="11" spans="1:8">
      <c r="A11" s="16" t="str">
        <f>PARÁMETROS!A11</f>
        <v>CEBOLLÍN</v>
      </c>
      <c r="B11" s="121" t="str">
        <f>PARÁMETROS!B11</f>
        <v>KILO</v>
      </c>
      <c r="C11" s="125">
        <f>PARÁMETROS!C11</f>
        <v>500</v>
      </c>
      <c r="D11" s="129">
        <v>6</v>
      </c>
      <c r="E11" s="132">
        <f t="shared" si="1"/>
        <v>4.5454545454545456E-2</v>
      </c>
      <c r="F11" s="135">
        <f t="shared" si="2"/>
        <v>3000</v>
      </c>
      <c r="G11" s="10">
        <f t="shared" si="3"/>
        <v>22.727272727272727</v>
      </c>
      <c r="H11" s="31">
        <f t="shared" si="0"/>
        <v>3.206213707694934E-2</v>
      </c>
    </row>
    <row r="12" spans="1:8">
      <c r="A12" s="16" t="str">
        <f>PARÁMETROS!A10</f>
        <v>CEBOLLA</v>
      </c>
      <c r="B12" s="121" t="str">
        <f>PARÁMETROS!B10</f>
        <v>KILO</v>
      </c>
      <c r="C12" s="125">
        <f>PARÁMETROS!C10</f>
        <v>1150</v>
      </c>
      <c r="D12" s="129">
        <v>7</v>
      </c>
      <c r="E12" s="132">
        <f t="shared" si="1"/>
        <v>5.3030303030303032E-2</v>
      </c>
      <c r="F12" s="135">
        <f t="shared" si="2"/>
        <v>8050</v>
      </c>
      <c r="G12" s="10">
        <f t="shared" si="3"/>
        <v>60.984848484848484</v>
      </c>
      <c r="H12" s="31">
        <f t="shared" si="0"/>
        <v>8.6033401156480727E-2</v>
      </c>
    </row>
    <row r="13" spans="1:8">
      <c r="A13" s="16" t="str">
        <f>PARÁMETROS!A12</f>
        <v>CÉLERI (APIO ESPAÑA)</v>
      </c>
      <c r="B13" s="121" t="str">
        <f>PARÁMETROS!B12</f>
        <v>KILO</v>
      </c>
      <c r="C13" s="125">
        <f>PARÁMETROS!C12</f>
        <v>300</v>
      </c>
      <c r="D13" s="129">
        <v>8</v>
      </c>
      <c r="E13" s="132">
        <f t="shared" si="1"/>
        <v>6.0606060606060608E-2</v>
      </c>
      <c r="F13" s="135">
        <f t="shared" si="2"/>
        <v>2400</v>
      </c>
      <c r="G13" s="10">
        <f t="shared" si="3"/>
        <v>18.181818181818183</v>
      </c>
      <c r="H13" s="31">
        <f t="shared" si="0"/>
        <v>2.5649709661559474E-2</v>
      </c>
    </row>
    <row r="14" spans="1:8">
      <c r="A14" s="16" t="str">
        <f>PARÁMETROS!A5</f>
        <v>AJOPORRO</v>
      </c>
      <c r="B14" s="121" t="str">
        <f>PARÁMETROS!B5</f>
        <v>KILO</v>
      </c>
      <c r="C14" s="125">
        <f>PARÁMETROS!C5</f>
        <v>300</v>
      </c>
      <c r="D14" s="129">
        <v>7</v>
      </c>
      <c r="E14" s="132">
        <f t="shared" si="1"/>
        <v>5.3030303030303032E-2</v>
      </c>
      <c r="F14" s="135">
        <f t="shared" si="2"/>
        <v>2100</v>
      </c>
      <c r="G14" s="10">
        <f t="shared" si="3"/>
        <v>15.90909090909091</v>
      </c>
      <c r="H14" s="31">
        <f t="shared" si="0"/>
        <v>2.244349595386454E-2</v>
      </c>
    </row>
    <row r="15" spans="1:8">
      <c r="A15" s="16" t="str">
        <f>PARÁMETROS!A52</f>
        <v>PIMENTÓN</v>
      </c>
      <c r="B15" s="121" t="str">
        <f>PARÁMETROS!B52</f>
        <v>KILO</v>
      </c>
      <c r="C15" s="125">
        <f>PARÁMETROS!C52</f>
        <v>800</v>
      </c>
      <c r="D15" s="129">
        <v>8</v>
      </c>
      <c r="E15" s="132">
        <f t="shared" si="1"/>
        <v>6.0606060606060608E-2</v>
      </c>
      <c r="F15" s="135">
        <f t="shared" si="2"/>
        <v>6400</v>
      </c>
      <c r="G15" s="10">
        <f t="shared" si="3"/>
        <v>48.484848484848484</v>
      </c>
      <c r="H15" s="31">
        <f t="shared" si="0"/>
        <v>6.8399225764158592E-2</v>
      </c>
    </row>
    <row r="16" spans="1:8">
      <c r="A16" s="16" t="str">
        <f>PARÁMETROS!A3</f>
        <v>ACEITUNA</v>
      </c>
      <c r="B16" s="121" t="str">
        <f>PARÁMETROS!B3</f>
        <v>KILO</v>
      </c>
      <c r="C16" s="125">
        <f>PARÁMETROS!C3</f>
        <v>2000</v>
      </c>
      <c r="D16" s="129">
        <v>2.4</v>
      </c>
      <c r="E16" s="132">
        <f t="shared" si="1"/>
        <v>1.8181818181818181E-2</v>
      </c>
      <c r="F16" s="135">
        <f t="shared" si="2"/>
        <v>4800</v>
      </c>
      <c r="G16" s="10">
        <f t="shared" si="3"/>
        <v>36.36363636363636</v>
      </c>
      <c r="H16" s="31">
        <f t="shared" si="0"/>
        <v>5.129941932311894E-2</v>
      </c>
    </row>
    <row r="17" spans="1:8">
      <c r="A17" s="16" t="str">
        <f>PARÁMETROS!A55</f>
        <v>SALSA DE TOMATE</v>
      </c>
      <c r="B17" s="121" t="str">
        <f>PARÁMETROS!B55</f>
        <v>KILO</v>
      </c>
      <c r="C17" s="125">
        <f>PARÁMETROS!C55</f>
        <v>2678.57</v>
      </c>
      <c r="D17" s="129">
        <v>8</v>
      </c>
      <c r="E17" s="132">
        <f t="shared" si="1"/>
        <v>6.0606060606060608E-2</v>
      </c>
      <c r="F17" s="135">
        <f t="shared" si="2"/>
        <v>21428.560000000001</v>
      </c>
      <c r="G17" s="10">
        <f t="shared" si="3"/>
        <v>162.33757575757576</v>
      </c>
      <c r="H17" s="31">
        <f t="shared" si="0"/>
        <v>0.22901514269387785</v>
      </c>
    </row>
    <row r="18" spans="1:8">
      <c r="A18" s="16" t="str">
        <f>PARÁMETROS!A8</f>
        <v>AZÚCAR</v>
      </c>
      <c r="B18" s="121" t="str">
        <f>PARÁMETROS!B8</f>
        <v>KILO</v>
      </c>
      <c r="C18" s="125">
        <f>PARÁMETROS!C8</f>
        <v>300</v>
      </c>
      <c r="D18" s="129">
        <v>0.3</v>
      </c>
      <c r="E18" s="132">
        <f t="shared" si="1"/>
        <v>2.2727272727272726E-3</v>
      </c>
      <c r="F18" s="135">
        <f t="shared" si="2"/>
        <v>90</v>
      </c>
      <c r="G18" s="10">
        <f t="shared" si="3"/>
        <v>0.68181818181818177</v>
      </c>
      <c r="H18" s="31">
        <f t="shared" si="0"/>
        <v>9.6186411230848011E-4</v>
      </c>
    </row>
    <row r="19" spans="1:8">
      <c r="A19" s="16" t="str">
        <f>PARÁMETROS!A54</f>
        <v xml:space="preserve">SAL </v>
      </c>
      <c r="B19" s="121" t="str">
        <f>PARÁMETROS!B54</f>
        <v>KILO</v>
      </c>
      <c r="C19" s="125">
        <f>PARÁMETROS!C54</f>
        <v>10</v>
      </c>
      <c r="D19" s="129">
        <v>0.15</v>
      </c>
      <c r="E19" s="132">
        <f t="shared" si="1"/>
        <v>1.1363636363636363E-3</v>
      </c>
      <c r="F19" s="135">
        <f t="shared" si="2"/>
        <v>1.5</v>
      </c>
      <c r="G19" s="10">
        <f t="shared" si="3"/>
        <v>1.1363636363636364E-2</v>
      </c>
      <c r="H19" s="31">
        <f t="shared" si="0"/>
        <v>1.6031068538474669E-5</v>
      </c>
    </row>
    <row r="20" spans="1:8">
      <c r="A20" s="16" t="str">
        <f>PARÁMETROS!A64</f>
        <v>VINAGRE</v>
      </c>
      <c r="B20" s="121" t="str">
        <f>PARÁMETROS!B64</f>
        <v>LITRO</v>
      </c>
      <c r="C20" s="125">
        <f>PARÁMETROS!C64</f>
        <v>255.06</v>
      </c>
      <c r="D20" s="129">
        <v>2</v>
      </c>
      <c r="E20" s="132">
        <f t="shared" si="1"/>
        <v>1.5151515151515152E-2</v>
      </c>
      <c r="F20" s="135">
        <f t="shared" si="2"/>
        <v>510.12</v>
      </c>
      <c r="G20" s="10">
        <f t="shared" si="3"/>
        <v>3.8645454545454547</v>
      </c>
      <c r="H20" s="31">
        <f t="shared" si="0"/>
        <v>5.4518457885644658E-3</v>
      </c>
    </row>
    <row r="21" spans="1:8">
      <c r="A21" s="16" t="str">
        <f>PARÁMETROS!A21</f>
        <v>PIMIENTA</v>
      </c>
      <c r="B21" s="121" t="str">
        <f>PARÁMETROS!B21</f>
        <v>GRAMO</v>
      </c>
      <c r="C21" s="125">
        <f>PARÁMETROS!C21</f>
        <v>20</v>
      </c>
      <c r="D21" s="129">
        <v>50</v>
      </c>
      <c r="E21" s="132">
        <f t="shared" si="1"/>
        <v>0.37878787878787878</v>
      </c>
      <c r="F21" s="135">
        <f t="shared" si="2"/>
        <v>1000</v>
      </c>
      <c r="G21" s="10">
        <f t="shared" si="3"/>
        <v>7.5757575757575761</v>
      </c>
      <c r="H21" s="31">
        <f t="shared" si="0"/>
        <v>1.0687379025649781E-2</v>
      </c>
    </row>
    <row r="22" spans="1:8">
      <c r="A22" s="16" t="str">
        <f>PARÁMETROS!A36</f>
        <v>FRASCO  500GR</v>
      </c>
      <c r="B22" s="121" t="str">
        <f>PARÁMETROS!B36</f>
        <v>UNIDAD</v>
      </c>
      <c r="C22" s="125">
        <f>PARÁMETROS!C36</f>
        <v>57.41</v>
      </c>
      <c r="D22" s="170">
        <f>F3</f>
        <v>132</v>
      </c>
      <c r="E22" s="132">
        <f t="shared" si="1"/>
        <v>1</v>
      </c>
      <c r="F22" s="135">
        <f t="shared" si="2"/>
        <v>7578.12</v>
      </c>
      <c r="G22" s="10">
        <f t="shared" si="3"/>
        <v>57.41</v>
      </c>
      <c r="H22" s="31">
        <f t="shared" si="0"/>
        <v>8.0990240741857109E-2</v>
      </c>
    </row>
    <row r="23" spans="1:8">
      <c r="A23" s="16" t="str">
        <f>PARÁMETROS!A25</f>
        <v>ETIQUETA FRASCO DE 500GR</v>
      </c>
      <c r="B23" s="121" t="str">
        <f>PARÁMETROS!B25</f>
        <v>UNIDAD</v>
      </c>
      <c r="C23" s="125">
        <f>PARÁMETROS!C25</f>
        <v>29.25</v>
      </c>
      <c r="D23" s="170">
        <f>F3</f>
        <v>132</v>
      </c>
      <c r="E23" s="132">
        <f t="shared" si="1"/>
        <v>1</v>
      </c>
      <c r="F23" s="135">
        <f t="shared" si="2"/>
        <v>3861</v>
      </c>
      <c r="G23" s="10">
        <f t="shared" si="3"/>
        <v>29.25</v>
      </c>
      <c r="H23" s="31">
        <f t="shared" si="0"/>
        <v>4.1263970418033799E-2</v>
      </c>
    </row>
    <row r="24" spans="1:8">
      <c r="A24" s="16" t="str">
        <f>PARÁMETROS!A30</f>
        <v>PRESINTO TAPA DE 500GR</v>
      </c>
      <c r="B24" s="121" t="str">
        <f>PARÁMETROS!B30</f>
        <v>UNIDAD</v>
      </c>
      <c r="C24" s="125">
        <f>PARÁMETROS!C30</f>
        <v>0.5</v>
      </c>
      <c r="D24" s="170">
        <f>F3</f>
        <v>132</v>
      </c>
      <c r="E24" s="132">
        <f t="shared" si="1"/>
        <v>1</v>
      </c>
      <c r="F24" s="135">
        <f t="shared" si="2"/>
        <v>66</v>
      </c>
      <c r="G24" s="10">
        <f t="shared" si="3"/>
        <v>0.5</v>
      </c>
      <c r="H24" s="31">
        <f t="shared" si="0"/>
        <v>7.0536701569288551E-4</v>
      </c>
    </row>
    <row r="25" spans="1:8">
      <c r="A25" s="16" t="str">
        <f>PARÁMETROS!A41</f>
        <v>GAS (COSTO 1% DE CONSUMO)</v>
      </c>
      <c r="B25" s="121" t="str">
        <f>PARÁMETROS!B41</f>
        <v>1%</v>
      </c>
      <c r="C25" s="125">
        <f>PARÁMETROS!C41</f>
        <v>92.307692307692307</v>
      </c>
      <c r="D25" s="129">
        <v>2</v>
      </c>
      <c r="E25" s="132">
        <f t="shared" si="1"/>
        <v>1.5151515151515152E-2</v>
      </c>
      <c r="F25" s="135">
        <f t="shared" si="2"/>
        <v>184.61538461538461</v>
      </c>
      <c r="G25" s="10">
        <f t="shared" si="3"/>
        <v>1.3986013986013985</v>
      </c>
      <c r="H25" s="31">
        <f t="shared" si="0"/>
        <v>1.9730545893507285E-3</v>
      </c>
    </row>
    <row r="26" spans="1:8">
      <c r="A26" s="16" t="str">
        <f>PARÁMETROS!A20</f>
        <v>ELECTRICIDAD</v>
      </c>
      <c r="B26" s="121" t="str">
        <f>PARÁMETROS!B20</f>
        <v>KWH</v>
      </c>
      <c r="C26" s="125">
        <f>PARÁMETROS!C20</f>
        <v>0</v>
      </c>
      <c r="D26" s="129"/>
      <c r="E26" s="132">
        <f t="shared" si="1"/>
        <v>0</v>
      </c>
      <c r="F26" s="135">
        <f t="shared" si="2"/>
        <v>0</v>
      </c>
      <c r="G26" s="10">
        <f t="shared" si="3"/>
        <v>0</v>
      </c>
      <c r="H26" s="31">
        <f t="shared" si="0"/>
        <v>0</v>
      </c>
    </row>
    <row r="27" spans="1:8">
      <c r="A27" s="16" t="str">
        <f>PARÁMETROS!A4</f>
        <v>AGUA</v>
      </c>
      <c r="B27" s="121" t="str">
        <f>PARÁMETROS!B4</f>
        <v>UNITARIO E</v>
      </c>
      <c r="C27" s="125">
        <f>PARÁMETROS!C4</f>
        <v>0</v>
      </c>
      <c r="D27" s="129"/>
      <c r="E27" s="132">
        <f t="shared" si="1"/>
        <v>0</v>
      </c>
      <c r="F27" s="135">
        <f t="shared" si="2"/>
        <v>0</v>
      </c>
      <c r="G27" s="10">
        <f t="shared" si="3"/>
        <v>0</v>
      </c>
      <c r="H27" s="31">
        <f t="shared" si="0"/>
        <v>0</v>
      </c>
    </row>
    <row r="28" spans="1:8" s="2" customFormat="1">
      <c r="A28" s="16" t="str">
        <f>PARÁMETROS!A43</f>
        <v>GUANTES DE LATEX RE-USABLES</v>
      </c>
      <c r="B28" s="122" t="str">
        <f>PARÁMETROS!B43</f>
        <v>PAR</v>
      </c>
      <c r="C28" s="126">
        <f>PARÁMETROS!C43</f>
        <v>335.63</v>
      </c>
      <c r="D28" s="129">
        <f>3/10</f>
        <v>0.3</v>
      </c>
      <c r="E28" s="132">
        <f t="shared" ref="E28:E35" si="4">D28/F$3</f>
        <v>2.2727272727272726E-3</v>
      </c>
      <c r="F28" s="135">
        <f t="shared" ref="F28:G35" si="5">D28*$C28</f>
        <v>100.68899999999999</v>
      </c>
      <c r="G28" s="10">
        <f t="shared" si="5"/>
        <v>0.7627954545454545</v>
      </c>
      <c r="H28" s="31">
        <f t="shared" si="0"/>
        <v>1.0761015067136507E-3</v>
      </c>
    </row>
    <row r="29" spans="1:8" s="2" customFormat="1">
      <c r="A29" s="16" t="str">
        <f>PARÁMETROS!A17</f>
        <v>DETERGENTE PARA PISOS</v>
      </c>
      <c r="B29" s="121" t="str">
        <f>PARÁMETROS!B17</f>
        <v>LITRO</v>
      </c>
      <c r="C29" s="125">
        <f>PARÁMETROS!C17</f>
        <v>12.92</v>
      </c>
      <c r="D29" s="129"/>
      <c r="E29" s="132">
        <f t="shared" si="4"/>
        <v>0</v>
      </c>
      <c r="F29" s="135">
        <f t="shared" si="5"/>
        <v>0</v>
      </c>
      <c r="G29" s="10">
        <f t="shared" si="5"/>
        <v>0</v>
      </c>
      <c r="H29" s="31">
        <f t="shared" si="0"/>
        <v>0</v>
      </c>
    </row>
    <row r="30" spans="1:8" s="2" customFormat="1">
      <c r="A30" s="16" t="str">
        <f>PARÁMETROS!A18</f>
        <v>DETERGENTE PARA VAJILLAS</v>
      </c>
      <c r="B30" s="121" t="str">
        <f>PARÁMETROS!B18</f>
        <v>LITRO</v>
      </c>
      <c r="C30" s="125">
        <f>PARÁMETROS!C18</f>
        <v>32.06</v>
      </c>
      <c r="D30" s="129"/>
      <c r="E30" s="132">
        <f t="shared" si="4"/>
        <v>0</v>
      </c>
      <c r="F30" s="135">
        <f t="shared" si="5"/>
        <v>0</v>
      </c>
      <c r="G30" s="10">
        <f t="shared" si="5"/>
        <v>0</v>
      </c>
      <c r="H30" s="31">
        <f t="shared" si="0"/>
        <v>0</v>
      </c>
    </row>
    <row r="31" spans="1:8" s="2" customFormat="1">
      <c r="A31" s="16" t="str">
        <f>PARÁMETROS!A6</f>
        <v>ALCOHOL</v>
      </c>
      <c r="B31" s="121" t="str">
        <f>PARÁMETROS!B6</f>
        <v>LITRO</v>
      </c>
      <c r="C31" s="125">
        <f>PARÁMETROS!C6</f>
        <v>300</v>
      </c>
      <c r="D31" s="129"/>
      <c r="E31" s="132">
        <f t="shared" si="4"/>
        <v>0</v>
      </c>
      <c r="F31" s="135">
        <f t="shared" si="5"/>
        <v>0</v>
      </c>
      <c r="G31" s="10">
        <f t="shared" si="5"/>
        <v>0</v>
      </c>
      <c r="H31" s="31">
        <f t="shared" si="0"/>
        <v>0</v>
      </c>
    </row>
    <row r="32" spans="1:8" s="2" customFormat="1">
      <c r="A32" s="16" t="str">
        <f>PARÁMETROS!A9</f>
        <v>BOLSA DE BASURA</v>
      </c>
      <c r="B32" s="121" t="str">
        <f>PARÁMETROS!B9</f>
        <v>UNIDAD</v>
      </c>
      <c r="C32" s="125">
        <f>PARÁMETROS!C9</f>
        <v>49.84</v>
      </c>
      <c r="D32" s="130">
        <v>2</v>
      </c>
      <c r="E32" s="132">
        <f t="shared" si="4"/>
        <v>1.5151515151515152E-2</v>
      </c>
      <c r="F32" s="135">
        <f t="shared" si="5"/>
        <v>99.68</v>
      </c>
      <c r="G32" s="10">
        <f t="shared" si="5"/>
        <v>0.75515151515151524</v>
      </c>
      <c r="H32" s="31">
        <f t="shared" si="0"/>
        <v>1.0653179412767702E-3</v>
      </c>
    </row>
    <row r="33" spans="1:8" s="2" customFormat="1">
      <c r="A33" s="16" t="str">
        <f>PARÁMETROS!A22</f>
        <v>ESPONJA DE LIMPIEZA</v>
      </c>
      <c r="B33" s="121" t="str">
        <f>PARÁMETROS!B22</f>
        <v>UNIDAD</v>
      </c>
      <c r="C33" s="127">
        <f>PARÁMETROS!C22</f>
        <v>0</v>
      </c>
      <c r="D33" s="130"/>
      <c r="E33" s="132">
        <f t="shared" si="4"/>
        <v>0</v>
      </c>
      <c r="F33" s="135">
        <f t="shared" si="5"/>
        <v>0</v>
      </c>
      <c r="G33" s="10">
        <f t="shared" si="5"/>
        <v>0</v>
      </c>
      <c r="H33" s="31">
        <f t="shared" ref="H33:H38" si="6">G33/G$38</f>
        <v>0</v>
      </c>
    </row>
    <row r="34" spans="1:8" s="2" customFormat="1">
      <c r="A34" s="16" t="str">
        <f>PARÁMETROS!A14</f>
        <v>COLETO</v>
      </c>
      <c r="B34" s="121" t="str">
        <f>PARÁMETROS!B14</f>
        <v>UNIDAD</v>
      </c>
      <c r="C34" s="127">
        <f>PARÁMETROS!C14</f>
        <v>0</v>
      </c>
      <c r="D34" s="130"/>
      <c r="E34" s="132">
        <f t="shared" si="4"/>
        <v>0</v>
      </c>
      <c r="F34" s="135">
        <f t="shared" si="5"/>
        <v>0</v>
      </c>
      <c r="G34" s="10">
        <f t="shared" si="5"/>
        <v>0</v>
      </c>
      <c r="H34" s="31">
        <f t="shared" si="6"/>
        <v>0</v>
      </c>
    </row>
    <row r="35" spans="1:8" s="2" customFormat="1">
      <c r="A35" s="16" t="str">
        <f>PARÁMETROS!A33</f>
        <v xml:space="preserve">FÓSFOROS </v>
      </c>
      <c r="B35" s="121" t="str">
        <f>PARÁMETROS!B33</f>
        <v>C.GRDE</v>
      </c>
      <c r="C35" s="127">
        <f>PARÁMETROS!C33</f>
        <v>1.63</v>
      </c>
      <c r="D35" s="130"/>
      <c r="E35" s="132">
        <f t="shared" si="4"/>
        <v>0</v>
      </c>
      <c r="F35" s="135">
        <f t="shared" si="5"/>
        <v>0</v>
      </c>
      <c r="G35" s="10">
        <f t="shared" si="5"/>
        <v>0</v>
      </c>
      <c r="H35" s="31">
        <f t="shared" si="6"/>
        <v>0</v>
      </c>
    </row>
    <row r="36" spans="1:8">
      <c r="A36" s="232" t="s">
        <v>38</v>
      </c>
      <c r="B36" s="233"/>
      <c r="C36" s="233"/>
      <c r="D36" s="233"/>
      <c r="E36" s="234"/>
      <c r="F36" s="35">
        <f>SUM(F6:F35)</f>
        <v>88077.244384615376</v>
      </c>
      <c r="G36" s="36">
        <f>SUM(G6:G35)</f>
        <v>667.25185139860127</v>
      </c>
      <c r="H36" s="34">
        <f t="shared" si="6"/>
        <v>0.94131489427316817</v>
      </c>
    </row>
    <row r="37" spans="1:8">
      <c r="A37" s="4" t="str">
        <f>PARÁMETROS!A67</f>
        <v>MANO DE OBRA</v>
      </c>
      <c r="B37" s="5" t="str">
        <f>PARÁMETROS!B67</f>
        <v xml:space="preserve">JORNAL </v>
      </c>
      <c r="C37" s="128">
        <f>PARÁMETROS!C67</f>
        <v>1830.3553997660001</v>
      </c>
      <c r="D37" s="129">
        <v>3</v>
      </c>
      <c r="E37" s="133">
        <f>D37/F3</f>
        <v>2.2727272727272728E-2</v>
      </c>
      <c r="F37" s="128">
        <f>D37*C37</f>
        <v>5491.0661992980004</v>
      </c>
      <c r="G37" s="29">
        <f>F37/F3</f>
        <v>41.598986358318186</v>
      </c>
      <c r="H37" s="31">
        <f>G37/G$38</f>
        <v>5.8685105726831908E-2</v>
      </c>
    </row>
    <row r="38" spans="1:8">
      <c r="A38" s="235" t="s">
        <v>39</v>
      </c>
      <c r="B38" s="235"/>
      <c r="C38" s="235"/>
      <c r="D38" s="235"/>
      <c r="E38" s="235"/>
      <c r="F38" s="35">
        <f>F36+F37</f>
        <v>93568.310583913379</v>
      </c>
      <c r="G38" s="36">
        <f>G36+G37</f>
        <v>708.85083775691942</v>
      </c>
      <c r="H38" s="34">
        <f t="shared" si="6"/>
        <v>1</v>
      </c>
    </row>
    <row r="39" spans="1:8">
      <c r="B39" s="3"/>
      <c r="C39" s="3"/>
      <c r="H39" s="14"/>
    </row>
    <row r="40" spans="1:8">
      <c r="A40" s="5" t="s">
        <v>107</v>
      </c>
      <c r="B40" s="60"/>
      <c r="C40" s="3"/>
    </row>
    <row r="41" spans="1:8">
      <c r="B41" s="3"/>
      <c r="C41" s="3"/>
    </row>
    <row r="42" spans="1:8">
      <c r="B42" s="3"/>
      <c r="C42" s="3"/>
    </row>
    <row r="43" spans="1:8">
      <c r="B43" s="3"/>
      <c r="C43" s="3"/>
    </row>
    <row r="44" spans="1:8">
      <c r="B44" s="3"/>
      <c r="C44" s="3"/>
    </row>
    <row r="45" spans="1:8">
      <c r="B45" s="3"/>
      <c r="C45" s="3"/>
    </row>
    <row r="46" spans="1:8">
      <c r="B46" s="3"/>
      <c r="C46" s="3"/>
    </row>
  </sheetData>
  <mergeCells count="13">
    <mergeCell ref="A36:E36"/>
    <mergeCell ref="A38:E38"/>
    <mergeCell ref="H1:H5"/>
    <mergeCell ref="B1:C1"/>
    <mergeCell ref="B2:C2"/>
    <mergeCell ref="A1:A3"/>
    <mergeCell ref="B3:E3"/>
    <mergeCell ref="D1:G1"/>
    <mergeCell ref="D2:G2"/>
    <mergeCell ref="F3:G3"/>
    <mergeCell ref="D4:E4"/>
    <mergeCell ref="F4:G4"/>
    <mergeCell ref="A4:C4"/>
  </mergeCells>
  <printOptions horizontalCentered="1" verticalCentered="1" gridLines="1"/>
  <pageMargins left="0.70866141732283472" right="0.70866141732283472" top="0.74803149606299213" bottom="0.74803149606299213" header="0.31496062992125984" footer="0.31496062992125984"/>
  <pageSetup scale="85" orientation="landscape" r:id="rId1"/>
  <headerFooter>
    <oddFooter>&amp;RANTIPASTO DE ATÚN DE 500 GR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zoomScaleNormal="75" workbookViewId="0">
      <selection activeCell="D16" sqref="D16"/>
    </sheetView>
  </sheetViews>
  <sheetFormatPr baseColWidth="10" defaultRowHeight="15"/>
  <cols>
    <col min="1" max="1" width="46.28515625" customWidth="1"/>
    <col min="2" max="2" width="12.7109375" customWidth="1"/>
    <col min="3" max="4" width="12.140625" customWidth="1"/>
    <col min="5" max="5" width="12.7109375" customWidth="1"/>
    <col min="6" max="6" width="12.42578125" customWidth="1"/>
    <col min="7" max="7" width="12" customWidth="1"/>
  </cols>
  <sheetData>
    <row r="1" spans="1:8" ht="15" customHeight="1">
      <c r="A1" s="262" t="s">
        <v>47</v>
      </c>
      <c r="B1" s="238" t="s">
        <v>41</v>
      </c>
      <c r="C1" s="239"/>
      <c r="D1" s="246">
        <v>41565</v>
      </c>
      <c r="E1" s="247"/>
      <c r="F1" s="247"/>
      <c r="G1" s="247"/>
      <c r="H1" s="236" t="s">
        <v>43</v>
      </c>
    </row>
    <row r="2" spans="1:8" ht="15" customHeight="1">
      <c r="A2" s="263"/>
      <c r="B2" s="238" t="s">
        <v>42</v>
      </c>
      <c r="C2" s="239"/>
      <c r="D2" s="249" t="s">
        <v>83</v>
      </c>
      <c r="E2" s="250"/>
      <c r="F2" s="250"/>
      <c r="G2" s="250"/>
      <c r="H2" s="237"/>
    </row>
    <row r="3" spans="1:8" ht="15" customHeight="1">
      <c r="A3" s="263"/>
      <c r="B3" s="264" t="s">
        <v>37</v>
      </c>
      <c r="C3" s="265"/>
      <c r="D3" s="244"/>
      <c r="E3" s="245"/>
      <c r="F3" s="252">
        <v>305</v>
      </c>
      <c r="G3" s="252"/>
      <c r="H3" s="237"/>
    </row>
    <row r="4" spans="1:8" s="2" customFormat="1" ht="15" customHeight="1">
      <c r="A4" s="267" t="s">
        <v>91</v>
      </c>
      <c r="B4" s="268"/>
      <c r="C4" s="269"/>
      <c r="D4" s="266" t="s">
        <v>85</v>
      </c>
      <c r="E4" s="255"/>
      <c r="F4" s="256" t="s">
        <v>86</v>
      </c>
      <c r="G4" s="257"/>
      <c r="H4" s="237"/>
    </row>
    <row r="5" spans="1:8">
      <c r="A5" s="95" t="str">
        <f>PARÁMETROS!A1</f>
        <v>MATERIA PRIMA E INSUMOS GAVCA</v>
      </c>
      <c r="B5" s="96" t="str">
        <f>PARÁMETROS!B1</f>
        <v>UNIDAD</v>
      </c>
      <c r="C5" s="96" t="str">
        <f>PARÁMETROS!C1</f>
        <v>COSTO</v>
      </c>
      <c r="D5" s="27" t="s">
        <v>35</v>
      </c>
      <c r="E5" s="27" t="s">
        <v>89</v>
      </c>
      <c r="F5" s="91" t="s">
        <v>35</v>
      </c>
      <c r="G5" s="92" t="s">
        <v>89</v>
      </c>
      <c r="H5" s="237"/>
    </row>
    <row r="6" spans="1:8">
      <c r="A6" t="str">
        <f>PARÁMETROS!A62</f>
        <v>TRUCHA AHUMADA</v>
      </c>
      <c r="B6" s="39" t="str">
        <f>PARÁMETROS!B62</f>
        <v>KILO</v>
      </c>
      <c r="C6" s="9">
        <f>PARÁMETROS!C62</f>
        <v>219.92801666982388</v>
      </c>
      <c r="D6" s="90">
        <v>21.116</v>
      </c>
      <c r="E6" s="136">
        <f>D6/F$3</f>
        <v>6.9232786885245895E-2</v>
      </c>
      <c r="F6" s="9">
        <f>D6*C6</f>
        <v>4644.0000000000009</v>
      </c>
      <c r="G6" s="9">
        <f>F6/F$3</f>
        <v>15.226229508196724</v>
      </c>
      <c r="H6" s="89">
        <f t="shared" ref="H6:H12" si="0">G6/G$29</f>
        <v>0.22426729702250009</v>
      </c>
    </row>
    <row r="7" spans="1:8">
      <c r="A7" t="str">
        <f>PARÁMETROS!A49</f>
        <v>MAYONESA PREPARADA</v>
      </c>
      <c r="B7" s="8" t="str">
        <f>PARÁMETROS!B49</f>
        <v>KILO</v>
      </c>
      <c r="C7" s="10">
        <f>PARÁMETROS!C49</f>
        <v>49.780219780219774</v>
      </c>
      <c r="D7" s="90">
        <f>45*0.91</f>
        <v>40.950000000000003</v>
      </c>
      <c r="E7" s="137">
        <f t="shared" ref="E7:E18" si="1">D7/F$3</f>
        <v>0.13426229508196721</v>
      </c>
      <c r="F7" s="10">
        <f t="shared" ref="F7:F18" si="2">D7*C7</f>
        <v>2038.4999999999998</v>
      </c>
      <c r="G7" s="10">
        <f t="shared" ref="G7:G18" si="3">F7/F$3</f>
        <v>6.6836065573770487</v>
      </c>
      <c r="H7" s="41">
        <f t="shared" si="0"/>
        <v>9.8442912355806711E-2</v>
      </c>
    </row>
    <row r="8" spans="1:8">
      <c r="A8" t="str">
        <f>PARÁMETROS!A42</f>
        <v>GELATINA</v>
      </c>
      <c r="B8" s="8" t="str">
        <f>PARÁMETROS!B42</f>
        <v>CAJA 33GR</v>
      </c>
      <c r="C8" s="10">
        <f>PARÁMETROS!C42</f>
        <v>16</v>
      </c>
      <c r="D8" s="90">
        <v>4</v>
      </c>
      <c r="E8" s="137">
        <f t="shared" si="1"/>
        <v>1.3114754098360656E-2</v>
      </c>
      <c r="F8" s="10">
        <f t="shared" si="2"/>
        <v>64</v>
      </c>
      <c r="G8" s="10">
        <f t="shared" si="3"/>
        <v>0.20983606557377049</v>
      </c>
      <c r="H8" s="41">
        <f t="shared" si="0"/>
        <v>3.0906776506115425E-3</v>
      </c>
    </row>
    <row r="9" spans="1:8">
      <c r="A9" t="str">
        <f>PARÁMETROS!A56</f>
        <v>SALSA PICANTE</v>
      </c>
      <c r="B9" s="8" t="str">
        <f>PARÁMETROS!B56</f>
        <v>CC</v>
      </c>
      <c r="C9" s="10">
        <f>PARÁMETROS!C56</f>
        <v>0.2</v>
      </c>
      <c r="D9" s="90">
        <v>25</v>
      </c>
      <c r="E9" s="137">
        <f t="shared" si="1"/>
        <v>8.1967213114754092E-2</v>
      </c>
      <c r="F9" s="10">
        <f t="shared" si="2"/>
        <v>5</v>
      </c>
      <c r="G9" s="10">
        <f t="shared" si="3"/>
        <v>1.6393442622950821E-2</v>
      </c>
      <c r="H9" s="41">
        <f t="shared" si="0"/>
        <v>2.4145919145402678E-4</v>
      </c>
    </row>
    <row r="10" spans="1:8">
      <c r="A10" t="str">
        <f>PARÁMETROS!A21</f>
        <v>PIMIENTA</v>
      </c>
      <c r="B10" s="8" t="str">
        <f>PARÁMETROS!B21</f>
        <v>GRAMO</v>
      </c>
      <c r="C10" s="10">
        <f>PARÁMETROS!C21</f>
        <v>20</v>
      </c>
      <c r="D10" s="90">
        <v>100</v>
      </c>
      <c r="E10" s="137">
        <f t="shared" si="1"/>
        <v>0.32786885245901637</v>
      </c>
      <c r="F10" s="10">
        <f t="shared" si="2"/>
        <v>2000</v>
      </c>
      <c r="G10" s="10">
        <f t="shared" si="3"/>
        <v>6.557377049180328</v>
      </c>
      <c r="H10" s="41">
        <f t="shared" si="0"/>
        <v>9.6583676581610711E-2</v>
      </c>
    </row>
    <row r="11" spans="1:8">
      <c r="A11" t="str">
        <f>PARÁMETROS!A64</f>
        <v>VINAGRE</v>
      </c>
      <c r="B11" s="8" t="str">
        <f>PARÁMETROS!B64</f>
        <v>LITRO</v>
      </c>
      <c r="C11" s="10">
        <f>PARÁMETROS!C64</f>
        <v>255.06</v>
      </c>
      <c r="D11" s="90">
        <v>0.25</v>
      </c>
      <c r="E11" s="137">
        <f t="shared" si="1"/>
        <v>8.1967213114754098E-4</v>
      </c>
      <c r="F11" s="10">
        <f t="shared" si="2"/>
        <v>63.765000000000001</v>
      </c>
      <c r="G11" s="10">
        <f t="shared" si="3"/>
        <v>0.20906557377049181</v>
      </c>
      <c r="H11" s="41">
        <f t="shared" si="0"/>
        <v>3.0793290686132037E-3</v>
      </c>
    </row>
    <row r="12" spans="1:8" s="2" customFormat="1">
      <c r="A12" s="2" t="str">
        <f>PARÁMETROS!A54</f>
        <v xml:space="preserve">SAL </v>
      </c>
      <c r="B12" s="8" t="str">
        <f>PARÁMETROS!B54</f>
        <v>KILO</v>
      </c>
      <c r="C12" s="125">
        <f>PARÁMETROS!C54</f>
        <v>10</v>
      </c>
      <c r="D12" s="90"/>
      <c r="E12" s="137">
        <f t="shared" si="1"/>
        <v>0</v>
      </c>
      <c r="F12" s="10">
        <f t="shared" si="2"/>
        <v>0</v>
      </c>
      <c r="G12" s="10">
        <f t="shared" si="3"/>
        <v>0</v>
      </c>
      <c r="H12" s="41">
        <f t="shared" si="0"/>
        <v>0</v>
      </c>
    </row>
    <row r="13" spans="1:8">
      <c r="A13" t="str">
        <f>PARÁMETROS!A38</f>
        <v>FRASCO 230GR</v>
      </c>
      <c r="B13" s="8" t="str">
        <f>PARÁMETROS!B38</f>
        <v>UNIDAD</v>
      </c>
      <c r="C13" s="10">
        <f>PARÁMETROS!C38</f>
        <v>5.2057666666666664</v>
      </c>
      <c r="D13" s="171">
        <f>F$3</f>
        <v>305</v>
      </c>
      <c r="E13" s="137">
        <f t="shared" si="1"/>
        <v>1</v>
      </c>
      <c r="F13" s="10">
        <f t="shared" si="2"/>
        <v>1587.7588333333333</v>
      </c>
      <c r="G13" s="10">
        <f t="shared" si="3"/>
        <v>5.2057666666666664</v>
      </c>
      <c r="H13" s="41">
        <f>G13/G$29</f>
        <v>7.6675792824131103E-2</v>
      </c>
    </row>
    <row r="14" spans="1:8">
      <c r="A14" t="str">
        <f>PARÁMETROS!A26</f>
        <v>ETIQUETA FRASCO DE 230GR</v>
      </c>
      <c r="B14" s="8" t="str">
        <f>PARÁMETROS!B26</f>
        <v>UNIDAD</v>
      </c>
      <c r="C14" s="10">
        <f>PARÁMETROS!C26</f>
        <v>14.8</v>
      </c>
      <c r="D14" s="171">
        <f>F$3</f>
        <v>305</v>
      </c>
      <c r="E14" s="137">
        <f t="shared" si="1"/>
        <v>1</v>
      </c>
      <c r="F14" s="10">
        <f t="shared" si="2"/>
        <v>4514</v>
      </c>
      <c r="G14" s="10">
        <f t="shared" si="3"/>
        <v>14.8</v>
      </c>
      <c r="H14" s="41">
        <f t="shared" ref="H14:H29" si="4">G14/G$29</f>
        <v>0.21798935804469538</v>
      </c>
    </row>
    <row r="15" spans="1:8">
      <c r="A15" t="str">
        <f>PARÁMETROS!A31</f>
        <v>PRESINTO TAPA DE 230GR</v>
      </c>
      <c r="B15" s="8" t="str">
        <f>PARÁMETROS!B31</f>
        <v>UNIDAD</v>
      </c>
      <c r="C15" s="10">
        <f>PARÁMETROS!C31</f>
        <v>0.5</v>
      </c>
      <c r="D15" s="171">
        <f>F$3</f>
        <v>305</v>
      </c>
      <c r="E15" s="137">
        <f t="shared" si="1"/>
        <v>1</v>
      </c>
      <c r="F15" s="10">
        <f t="shared" si="2"/>
        <v>152.5</v>
      </c>
      <c r="G15" s="10">
        <f t="shared" si="3"/>
        <v>0.5</v>
      </c>
      <c r="H15" s="41">
        <f t="shared" si="4"/>
        <v>7.3645053393478167E-3</v>
      </c>
    </row>
    <row r="16" spans="1:8">
      <c r="A16" t="str">
        <f>PARÁMETROS!A41</f>
        <v>GAS (COSTO 1% DE CONSUMO)</v>
      </c>
      <c r="B16" s="8" t="str">
        <f>PARÁMETROS!B41</f>
        <v>1%</v>
      </c>
      <c r="C16" s="10">
        <f>PARÁMETROS!C41</f>
        <v>92.307692307692307</v>
      </c>
      <c r="D16" s="90">
        <v>0.5</v>
      </c>
      <c r="E16" s="137">
        <f t="shared" si="1"/>
        <v>1.639344262295082E-3</v>
      </c>
      <c r="F16" s="10">
        <f t="shared" si="2"/>
        <v>46.153846153846153</v>
      </c>
      <c r="G16" s="10">
        <f t="shared" si="3"/>
        <v>0.15132408575031525</v>
      </c>
      <c r="H16" s="41">
        <f t="shared" si="4"/>
        <v>2.2288540749602469E-3</v>
      </c>
    </row>
    <row r="17" spans="1:8">
      <c r="A17" t="str">
        <f>PARÁMETROS!A20</f>
        <v>ELECTRICIDAD</v>
      </c>
      <c r="B17" s="8" t="str">
        <f>PARÁMETROS!B20</f>
        <v>KWH</v>
      </c>
      <c r="C17" s="10">
        <f>PARÁMETROS!C20</f>
        <v>0</v>
      </c>
      <c r="D17" s="90"/>
      <c r="E17" s="137">
        <f t="shared" si="1"/>
        <v>0</v>
      </c>
      <c r="F17" s="10">
        <f t="shared" si="2"/>
        <v>0</v>
      </c>
      <c r="G17" s="10">
        <f t="shared" si="3"/>
        <v>0</v>
      </c>
      <c r="H17" s="41">
        <f t="shared" si="4"/>
        <v>0</v>
      </c>
    </row>
    <row r="18" spans="1:8">
      <c r="A18" t="str">
        <f>PARÁMETROS!A4</f>
        <v>AGUA</v>
      </c>
      <c r="B18" s="8" t="str">
        <f>PARÁMETROS!B4</f>
        <v>UNITARIO E</v>
      </c>
      <c r="C18" s="10">
        <f>PARÁMETROS!C4</f>
        <v>0</v>
      </c>
      <c r="D18" s="90"/>
      <c r="E18" s="137">
        <f t="shared" si="1"/>
        <v>0</v>
      </c>
      <c r="F18" s="10">
        <f t="shared" si="2"/>
        <v>0</v>
      </c>
      <c r="G18" s="10">
        <f t="shared" si="3"/>
        <v>0</v>
      </c>
      <c r="H18" s="41">
        <f t="shared" si="4"/>
        <v>0</v>
      </c>
    </row>
    <row r="19" spans="1:8" s="2" customFormat="1">
      <c r="A19" s="14" t="str">
        <f>PARÁMETROS!A43</f>
        <v>GUANTES DE LATEX RE-USABLES</v>
      </c>
      <c r="B19" s="8" t="str">
        <f>PARÁMETROS!B43</f>
        <v>PAR</v>
      </c>
      <c r="C19" s="12">
        <f>PARÁMETROS!C43</f>
        <v>335.63</v>
      </c>
      <c r="D19" s="90">
        <f>3/10</f>
        <v>0.3</v>
      </c>
      <c r="E19" s="137">
        <f t="shared" ref="E19:E26" si="5">D19/F$3</f>
        <v>9.8360655737704918E-4</v>
      </c>
      <c r="F19" s="10">
        <f t="shared" ref="F19:F26" si="6">D19*C19</f>
        <v>100.68899999999999</v>
      </c>
      <c r="G19" s="10">
        <f t="shared" ref="G19:G26" si="7">F19/F$3</f>
        <v>0.33012786885245898</v>
      </c>
      <c r="H19" s="41">
        <f t="shared" ref="H19:H26" si="8">G19/G$29</f>
        <v>4.8624569056629E-3</v>
      </c>
    </row>
    <row r="20" spans="1:8" s="2" customFormat="1">
      <c r="A20" s="14" t="str">
        <f>PARÁMETROS!A17</f>
        <v>DETERGENTE PARA PISOS</v>
      </c>
      <c r="B20" s="8" t="str">
        <f>PARÁMETROS!B17</f>
        <v>LITRO</v>
      </c>
      <c r="C20" s="10">
        <f>PARÁMETROS!C17</f>
        <v>12.92</v>
      </c>
      <c r="D20" s="138"/>
      <c r="E20" s="137">
        <f t="shared" si="5"/>
        <v>0</v>
      </c>
      <c r="F20" s="10">
        <f t="shared" si="6"/>
        <v>0</v>
      </c>
      <c r="G20" s="10">
        <f t="shared" si="7"/>
        <v>0</v>
      </c>
      <c r="H20" s="41">
        <f t="shared" si="8"/>
        <v>0</v>
      </c>
    </row>
    <row r="21" spans="1:8" s="2" customFormat="1">
      <c r="A21" s="14" t="str">
        <f>PARÁMETROS!A18</f>
        <v>DETERGENTE PARA VAJILLAS</v>
      </c>
      <c r="B21" s="8" t="str">
        <f>PARÁMETROS!B18</f>
        <v>LITRO</v>
      </c>
      <c r="C21" s="10">
        <f>PARÁMETROS!C18</f>
        <v>32.06</v>
      </c>
      <c r="D21" s="138"/>
      <c r="E21" s="137">
        <f t="shared" si="5"/>
        <v>0</v>
      </c>
      <c r="F21" s="10">
        <f t="shared" si="6"/>
        <v>0</v>
      </c>
      <c r="G21" s="10">
        <f t="shared" si="7"/>
        <v>0</v>
      </c>
      <c r="H21" s="41">
        <f t="shared" si="8"/>
        <v>0</v>
      </c>
    </row>
    <row r="22" spans="1:8" s="2" customFormat="1">
      <c r="A22" s="14" t="str">
        <f>PARÁMETROS!A6</f>
        <v>ALCOHOL</v>
      </c>
      <c r="B22" s="8" t="str">
        <f>PARÁMETROS!B6</f>
        <v>LITRO</v>
      </c>
      <c r="C22" s="10">
        <f>PARÁMETROS!C6</f>
        <v>300</v>
      </c>
      <c r="D22" s="138"/>
      <c r="E22" s="137">
        <f t="shared" si="5"/>
        <v>0</v>
      </c>
      <c r="F22" s="10">
        <f t="shared" si="6"/>
        <v>0</v>
      </c>
      <c r="G22" s="10">
        <f t="shared" si="7"/>
        <v>0</v>
      </c>
      <c r="H22" s="41">
        <f t="shared" si="8"/>
        <v>0</v>
      </c>
    </row>
    <row r="23" spans="1:8" s="2" customFormat="1">
      <c r="A23" s="14" t="str">
        <f>PARÁMETROS!A9</f>
        <v>BOLSA DE BASURA</v>
      </c>
      <c r="B23" s="8" t="str">
        <f>PARÁMETROS!B9</f>
        <v>UNIDAD</v>
      </c>
      <c r="C23" s="10">
        <f>PARÁMETROS!C9</f>
        <v>49.84</v>
      </c>
      <c r="D23" s="138"/>
      <c r="E23" s="137">
        <f t="shared" si="5"/>
        <v>0</v>
      </c>
      <c r="F23" s="10">
        <f t="shared" si="6"/>
        <v>0</v>
      </c>
      <c r="G23" s="10">
        <f t="shared" si="7"/>
        <v>0</v>
      </c>
      <c r="H23" s="41">
        <f t="shared" si="8"/>
        <v>0</v>
      </c>
    </row>
    <row r="24" spans="1:8" s="2" customFormat="1">
      <c r="A24" s="14" t="str">
        <f>PARÁMETROS!A22</f>
        <v>ESPONJA DE LIMPIEZA</v>
      </c>
      <c r="B24" s="8" t="str">
        <f>PARÁMETROS!B22</f>
        <v>UNIDAD</v>
      </c>
      <c r="C24" s="10">
        <f>PARÁMETROS!C22</f>
        <v>0</v>
      </c>
      <c r="D24" s="138"/>
      <c r="E24" s="137">
        <f t="shared" si="5"/>
        <v>0</v>
      </c>
      <c r="F24" s="10">
        <f t="shared" si="6"/>
        <v>0</v>
      </c>
      <c r="G24" s="10">
        <f t="shared" si="7"/>
        <v>0</v>
      </c>
      <c r="H24" s="41">
        <f t="shared" si="8"/>
        <v>0</v>
      </c>
    </row>
    <row r="25" spans="1:8" s="2" customFormat="1">
      <c r="A25" s="14" t="str">
        <f>PARÁMETROS!A14</f>
        <v>COLETO</v>
      </c>
      <c r="B25" s="8" t="str">
        <f>PARÁMETROS!B14</f>
        <v>UNIDAD</v>
      </c>
      <c r="C25" s="10">
        <f>PARÁMETROS!C14</f>
        <v>0</v>
      </c>
      <c r="D25" s="138"/>
      <c r="E25" s="137">
        <f t="shared" si="5"/>
        <v>0</v>
      </c>
      <c r="F25" s="10">
        <f t="shared" si="6"/>
        <v>0</v>
      </c>
      <c r="G25" s="10">
        <f t="shared" si="7"/>
        <v>0</v>
      </c>
      <c r="H25" s="41">
        <f t="shared" si="8"/>
        <v>0</v>
      </c>
    </row>
    <row r="26" spans="1:8" s="2" customFormat="1">
      <c r="A26" s="14" t="str">
        <f>PARÁMETROS!A33</f>
        <v xml:space="preserve">FÓSFOROS </v>
      </c>
      <c r="B26" s="40" t="str">
        <f>PARÁMETROS!B33</f>
        <v>C.GRDE</v>
      </c>
      <c r="C26" s="11">
        <f>PARÁMETROS!C33</f>
        <v>1.63</v>
      </c>
      <c r="D26" s="138"/>
      <c r="E26" s="137">
        <f t="shared" si="5"/>
        <v>0</v>
      </c>
      <c r="F26" s="10">
        <f t="shared" si="6"/>
        <v>0</v>
      </c>
      <c r="G26" s="10">
        <f t="shared" si="7"/>
        <v>0</v>
      </c>
      <c r="H26" s="41">
        <f t="shared" si="8"/>
        <v>0</v>
      </c>
    </row>
    <row r="27" spans="1:8">
      <c r="A27" s="261" t="s">
        <v>38</v>
      </c>
      <c r="B27" s="261"/>
      <c r="C27" s="261"/>
      <c r="D27" s="261"/>
      <c r="E27" s="261"/>
      <c r="F27" s="33">
        <f>SUM(F6:F26)</f>
        <v>15216.366679487179</v>
      </c>
      <c r="G27" s="33">
        <f>SUM(G6:G26)</f>
        <v>49.889726817990763</v>
      </c>
      <c r="H27" s="42">
        <f t="shared" si="4"/>
        <v>0.73482631905939388</v>
      </c>
    </row>
    <row r="28" spans="1:8">
      <c r="A28" t="str">
        <f>PARÁMETROS!A67</f>
        <v>MANO DE OBRA</v>
      </c>
      <c r="B28" s="5" t="str">
        <f>PARÁMETROS!B67</f>
        <v xml:space="preserve">JORNAL </v>
      </c>
      <c r="C28" s="32">
        <f>PARÁMETROS!C67</f>
        <v>1830.3553997660001</v>
      </c>
      <c r="D28" s="28">
        <v>3</v>
      </c>
      <c r="E28" s="74">
        <f>D28/F3</f>
        <v>9.8360655737704927E-3</v>
      </c>
      <c r="F28" s="37">
        <f>D28*C28</f>
        <v>5491.0661992980004</v>
      </c>
      <c r="G28" s="29">
        <f>F28/F3</f>
        <v>18.003495735403281</v>
      </c>
      <c r="H28" s="41">
        <f t="shared" si="4"/>
        <v>0.26517368094060623</v>
      </c>
    </row>
    <row r="29" spans="1:8">
      <c r="A29" s="261" t="s">
        <v>39</v>
      </c>
      <c r="B29" s="261"/>
      <c r="C29" s="261"/>
      <c r="D29" s="261"/>
      <c r="E29" s="261"/>
      <c r="F29" s="33">
        <f>F27+F28</f>
        <v>20707.432878785177</v>
      </c>
      <c r="G29" s="38">
        <f>G27+G28</f>
        <v>67.89322255339404</v>
      </c>
      <c r="H29" s="42">
        <f t="shared" si="4"/>
        <v>1</v>
      </c>
    </row>
    <row r="31" spans="1:8">
      <c r="A31" s="5" t="s">
        <v>87</v>
      </c>
      <c r="B31" s="60"/>
    </row>
  </sheetData>
  <mergeCells count="13">
    <mergeCell ref="H1:H5"/>
    <mergeCell ref="B2:C2"/>
    <mergeCell ref="D2:G2"/>
    <mergeCell ref="B3:E3"/>
    <mergeCell ref="F3:G3"/>
    <mergeCell ref="D4:E4"/>
    <mergeCell ref="F4:G4"/>
    <mergeCell ref="A4:C4"/>
    <mergeCell ref="A27:E27"/>
    <mergeCell ref="A29:E29"/>
    <mergeCell ref="A1:A3"/>
    <mergeCell ref="B1:C1"/>
    <mergeCell ref="D1:G1"/>
  </mergeCells>
  <printOptions horizontalCentered="1" verticalCentered="1" gridLines="1"/>
  <pageMargins left="0.70866141732283472" right="0.70866141732283472" top="0.74803149606299213" bottom="0.74803149606299213" header="0.31496062992125984" footer="0.31496062992125984"/>
  <pageSetup scale="85" orientation="landscape" r:id="rId1"/>
  <headerFooter>
    <oddFooter>&amp;RMOUSSE DE TRUCHA AHUMADA DE 230GR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D20" sqref="D20"/>
    </sheetView>
  </sheetViews>
  <sheetFormatPr baseColWidth="10" defaultRowHeight="15"/>
  <cols>
    <col min="1" max="1" width="47.85546875" customWidth="1"/>
    <col min="5" max="6" width="12.42578125" customWidth="1"/>
    <col min="7" max="7" width="13" customWidth="1"/>
  </cols>
  <sheetData>
    <row r="1" spans="1:8" ht="15" customHeight="1">
      <c r="A1" s="273" t="s">
        <v>48</v>
      </c>
      <c r="B1" s="275" t="s">
        <v>41</v>
      </c>
      <c r="C1" s="239"/>
      <c r="D1" s="276">
        <v>42433</v>
      </c>
      <c r="E1" s="277"/>
      <c r="F1" s="277"/>
      <c r="G1" s="277"/>
      <c r="H1" s="236" t="s">
        <v>43</v>
      </c>
    </row>
    <row r="2" spans="1:8" ht="15" customHeight="1">
      <c r="A2" s="274"/>
      <c r="B2" s="275" t="s">
        <v>42</v>
      </c>
      <c r="C2" s="239"/>
      <c r="D2" s="279" t="s">
        <v>165</v>
      </c>
      <c r="E2" s="280"/>
      <c r="F2" s="280"/>
      <c r="G2" s="280"/>
      <c r="H2" s="237"/>
    </row>
    <row r="3" spans="1:8" ht="15" customHeight="1">
      <c r="A3" s="274"/>
      <c r="B3" s="265" t="s">
        <v>37</v>
      </c>
      <c r="C3" s="265"/>
      <c r="D3" s="244"/>
      <c r="E3" s="245"/>
      <c r="F3" s="281">
        <v>144</v>
      </c>
      <c r="G3" s="281"/>
      <c r="H3" s="237"/>
    </row>
    <row r="4" spans="1:8" s="2" customFormat="1" ht="15" customHeight="1">
      <c r="A4" s="282" t="s">
        <v>91</v>
      </c>
      <c r="B4" s="283"/>
      <c r="C4" s="284"/>
      <c r="D4" s="266" t="s">
        <v>85</v>
      </c>
      <c r="E4" s="255"/>
      <c r="F4" s="256" t="s">
        <v>86</v>
      </c>
      <c r="G4" s="257"/>
      <c r="H4" s="237"/>
    </row>
    <row r="5" spans="1:8">
      <c r="A5" s="97" t="str">
        <f>PARÁMETROS!A1</f>
        <v>MATERIA PRIMA E INSUMOS GAVCA</v>
      </c>
      <c r="B5" s="140" t="str">
        <f>PARÁMETROS!B1</f>
        <v>UNIDAD</v>
      </c>
      <c r="C5" s="140" t="str">
        <f>PARÁMETROS!C1</f>
        <v>COSTO</v>
      </c>
      <c r="D5" s="27" t="s">
        <v>35</v>
      </c>
      <c r="E5" s="27" t="s">
        <v>89</v>
      </c>
      <c r="F5" s="27" t="s">
        <v>35</v>
      </c>
      <c r="G5" s="26" t="s">
        <v>89</v>
      </c>
      <c r="H5" s="278"/>
    </row>
    <row r="6" spans="1:8">
      <c r="A6" t="str">
        <f>PARÁMETROS!A51</f>
        <v>PARCHITA</v>
      </c>
      <c r="B6" s="120" t="str">
        <f>PARÁMETROS!B51</f>
        <v>KILO</v>
      </c>
      <c r="C6" s="43">
        <f>PARÁMETROS!C51</f>
        <v>318.58</v>
      </c>
      <c r="D6" s="166">
        <v>79</v>
      </c>
      <c r="E6" s="72">
        <f>D6/F$3</f>
        <v>0.54861111111111116</v>
      </c>
      <c r="F6" s="9">
        <f>D6*C6</f>
        <v>25167.82</v>
      </c>
      <c r="G6" s="32">
        <f>F6/F$3</f>
        <v>174.77652777777777</v>
      </c>
      <c r="H6" s="30">
        <f>G6/G$25</f>
        <v>0.49124587580583928</v>
      </c>
    </row>
    <row r="7" spans="1:8">
      <c r="A7" t="str">
        <f>PARÁMETROS!A8</f>
        <v>AZÚCAR</v>
      </c>
      <c r="B7" s="121" t="str">
        <f>PARÁMETROS!B8</f>
        <v>KILO</v>
      </c>
      <c r="C7" s="44">
        <f>PARÁMETROS!C8</f>
        <v>300</v>
      </c>
      <c r="D7" s="166">
        <v>18.2</v>
      </c>
      <c r="E7" s="72">
        <f t="shared" ref="E7:E14" si="0">D7/F$3</f>
        <v>0.12638888888888888</v>
      </c>
      <c r="F7" s="10">
        <f t="shared" ref="F7:F14" si="1">D7*C7</f>
        <v>5460</v>
      </c>
      <c r="G7" s="32">
        <f t="shared" ref="G7:G14" si="2">F7/F$3</f>
        <v>37.916666666666664</v>
      </c>
      <c r="H7" s="31">
        <f t="shared" ref="H7:H25" si="3">G7/G$25</f>
        <v>0.10657269806840172</v>
      </c>
    </row>
    <row r="8" spans="1:8">
      <c r="A8" t="str">
        <f>PARÁMETROS!A64</f>
        <v>VINAGRE</v>
      </c>
      <c r="B8" s="121" t="str">
        <f>PARÁMETROS!B64</f>
        <v>LITRO</v>
      </c>
      <c r="C8" s="44">
        <f>PARÁMETROS!C64</f>
        <v>255.06</v>
      </c>
      <c r="D8" s="166">
        <v>1</v>
      </c>
      <c r="E8" s="72">
        <f t="shared" si="0"/>
        <v>6.9444444444444441E-3</v>
      </c>
      <c r="F8" s="10">
        <f t="shared" si="1"/>
        <v>255.06</v>
      </c>
      <c r="G8" s="32">
        <f t="shared" si="2"/>
        <v>1.77125</v>
      </c>
      <c r="H8" s="31">
        <f t="shared" si="3"/>
        <v>4.9784674669096233E-3</v>
      </c>
    </row>
    <row r="9" spans="1:8">
      <c r="A9" t="str">
        <f>PARÁMETROS!A36</f>
        <v>FRASCO  500GR</v>
      </c>
      <c r="B9" s="121" t="str">
        <f>PARÁMETROS!B36</f>
        <v>UNIDAD</v>
      </c>
      <c r="C9" s="44">
        <f>PARÁMETROS!C36</f>
        <v>57.41</v>
      </c>
      <c r="D9" s="168">
        <f>F$3</f>
        <v>144</v>
      </c>
      <c r="E9" s="72">
        <f t="shared" si="0"/>
        <v>1</v>
      </c>
      <c r="F9" s="10">
        <f t="shared" si="1"/>
        <v>8267.0399999999991</v>
      </c>
      <c r="G9" s="32">
        <f t="shared" si="2"/>
        <v>57.41</v>
      </c>
      <c r="H9" s="31">
        <f t="shared" si="3"/>
        <v>0.16136277616106223</v>
      </c>
    </row>
    <row r="10" spans="1:8">
      <c r="A10" t="str">
        <f>PARÁMETROS!A25</f>
        <v>ETIQUETA FRASCO DE 500GR</v>
      </c>
      <c r="B10" s="121" t="str">
        <f>PARÁMETROS!B25</f>
        <v>UNIDAD</v>
      </c>
      <c r="C10" s="44">
        <f>PARÁMETROS!C25</f>
        <v>29.25</v>
      </c>
      <c r="D10" s="168">
        <f>F$3</f>
        <v>144</v>
      </c>
      <c r="E10" s="72">
        <f t="shared" si="0"/>
        <v>1</v>
      </c>
      <c r="F10" s="10">
        <f t="shared" si="1"/>
        <v>4212</v>
      </c>
      <c r="G10" s="32">
        <f t="shared" si="2"/>
        <v>29.25</v>
      </c>
      <c r="H10" s="31">
        <f t="shared" si="3"/>
        <v>8.2213224224195622E-2</v>
      </c>
    </row>
    <row r="11" spans="1:8">
      <c r="A11" t="str">
        <f>PARÁMETROS!A30</f>
        <v>PRESINTO TAPA DE 500GR</v>
      </c>
      <c r="B11" s="121" t="str">
        <f>PARÁMETROS!B30</f>
        <v>UNIDAD</v>
      </c>
      <c r="C11" s="44">
        <f>PARÁMETROS!C30</f>
        <v>0.5</v>
      </c>
      <c r="D11" s="168">
        <f>F$3</f>
        <v>144</v>
      </c>
      <c r="E11" s="72">
        <f t="shared" si="0"/>
        <v>1</v>
      </c>
      <c r="F11" s="10">
        <f t="shared" si="1"/>
        <v>72</v>
      </c>
      <c r="G11" s="32">
        <f t="shared" si="2"/>
        <v>0.5</v>
      </c>
      <c r="H11" s="31">
        <f t="shared" si="3"/>
        <v>1.4053542602426603E-3</v>
      </c>
    </row>
    <row r="12" spans="1:8">
      <c r="A12" t="str">
        <f>PARÁMETROS!A41</f>
        <v>GAS (COSTO 1% DE CONSUMO)</v>
      </c>
      <c r="B12" s="121" t="str">
        <f>PARÁMETROS!B41</f>
        <v>1%</v>
      </c>
      <c r="C12" s="44">
        <f>PARÁMETROS!C41</f>
        <v>92.307692307692307</v>
      </c>
      <c r="D12" s="166">
        <v>3</v>
      </c>
      <c r="E12" s="72">
        <f t="shared" si="0"/>
        <v>2.0833333333333332E-2</v>
      </c>
      <c r="F12" s="10">
        <f t="shared" si="1"/>
        <v>276.92307692307691</v>
      </c>
      <c r="G12" s="32">
        <f t="shared" si="2"/>
        <v>1.9230769230769229</v>
      </c>
      <c r="H12" s="31">
        <f t="shared" si="3"/>
        <v>5.4052086932410001E-3</v>
      </c>
    </row>
    <row r="13" spans="1:8">
      <c r="A13" t="str">
        <f>PARÁMETROS!A20</f>
        <v>ELECTRICIDAD</v>
      </c>
      <c r="B13" s="121" t="str">
        <f>PARÁMETROS!B20</f>
        <v>KWH</v>
      </c>
      <c r="C13" s="44">
        <f>PARÁMETROS!C20</f>
        <v>0</v>
      </c>
      <c r="D13" s="166"/>
      <c r="E13" s="72">
        <f t="shared" si="0"/>
        <v>0</v>
      </c>
      <c r="F13" s="10">
        <f t="shared" si="1"/>
        <v>0</v>
      </c>
      <c r="G13" s="32">
        <f t="shared" si="2"/>
        <v>0</v>
      </c>
      <c r="H13" s="31">
        <f t="shared" si="3"/>
        <v>0</v>
      </c>
    </row>
    <row r="14" spans="1:8">
      <c r="A14" t="str">
        <f>PARÁMETROS!A4</f>
        <v>AGUA</v>
      </c>
      <c r="B14" s="121" t="str">
        <f>PARÁMETROS!B4</f>
        <v>UNITARIO E</v>
      </c>
      <c r="C14" s="44">
        <f>PARÁMETROS!C4</f>
        <v>0</v>
      </c>
      <c r="D14" s="166"/>
      <c r="E14" s="72">
        <f t="shared" si="0"/>
        <v>0</v>
      </c>
      <c r="F14" s="10">
        <f t="shared" si="1"/>
        <v>0</v>
      </c>
      <c r="G14" s="32">
        <f t="shared" si="2"/>
        <v>0</v>
      </c>
      <c r="H14" s="31">
        <f t="shared" si="3"/>
        <v>0</v>
      </c>
    </row>
    <row r="15" spans="1:8" s="2" customFormat="1">
      <c r="A15" s="2" t="str">
        <f>PARÁMETROS!A43</f>
        <v>GUANTES DE LATEX RE-USABLES</v>
      </c>
      <c r="B15" s="121" t="str">
        <f>PARÁMETROS!B43</f>
        <v>PAR</v>
      </c>
      <c r="C15" s="12">
        <f>PARÁMETROS!C43</f>
        <v>335.63</v>
      </c>
      <c r="D15" s="166">
        <f>3/10</f>
        <v>0.3</v>
      </c>
      <c r="E15" s="72">
        <f t="shared" ref="E15:E22" si="4">D15/F$3</f>
        <v>2.0833333333333333E-3</v>
      </c>
      <c r="F15" s="10">
        <f t="shared" ref="F15:F22" si="5">D15*C15</f>
        <v>100.68899999999999</v>
      </c>
      <c r="G15" s="32">
        <f t="shared" ref="G15:G22" si="6">F15/F$3</f>
        <v>0.69922916666666657</v>
      </c>
      <c r="H15" s="31">
        <f t="shared" ref="H15:H22" si="7">G15/G$25</f>
        <v>1.9653293765218498E-3</v>
      </c>
    </row>
    <row r="16" spans="1:8" s="2" customFormat="1">
      <c r="A16" s="2" t="str">
        <f>PARÁMETROS!A17</f>
        <v>DETERGENTE PARA PISOS</v>
      </c>
      <c r="B16" s="121" t="str">
        <f>PARÁMETROS!B17</f>
        <v>LITRO</v>
      </c>
      <c r="C16" s="10">
        <f>PARÁMETROS!C17</f>
        <v>12.92</v>
      </c>
      <c r="D16" s="166"/>
      <c r="E16" s="72">
        <f t="shared" si="4"/>
        <v>0</v>
      </c>
      <c r="F16" s="10">
        <f t="shared" si="5"/>
        <v>0</v>
      </c>
      <c r="G16" s="32">
        <f t="shared" si="6"/>
        <v>0</v>
      </c>
      <c r="H16" s="31">
        <f t="shared" si="7"/>
        <v>0</v>
      </c>
    </row>
    <row r="17" spans="1:8" s="2" customFormat="1">
      <c r="A17" s="2" t="str">
        <f>PARÁMETROS!A18</f>
        <v>DETERGENTE PARA VAJILLAS</v>
      </c>
      <c r="B17" s="121" t="str">
        <f>PARÁMETROS!B18</f>
        <v>LITRO</v>
      </c>
      <c r="C17" s="10">
        <f>PARÁMETROS!C18</f>
        <v>32.06</v>
      </c>
      <c r="D17" s="166"/>
      <c r="E17" s="72">
        <f t="shared" si="4"/>
        <v>0</v>
      </c>
      <c r="F17" s="10">
        <f t="shared" si="5"/>
        <v>0</v>
      </c>
      <c r="G17" s="32">
        <f t="shared" si="6"/>
        <v>0</v>
      </c>
      <c r="H17" s="31">
        <f t="shared" si="7"/>
        <v>0</v>
      </c>
    </row>
    <row r="18" spans="1:8" s="2" customFormat="1">
      <c r="A18" s="2" t="str">
        <f>PARÁMETROS!A6</f>
        <v>ALCOHOL</v>
      </c>
      <c r="B18" s="121" t="str">
        <f>PARÁMETROS!B6</f>
        <v>LITRO</v>
      </c>
      <c r="C18" s="10">
        <f>PARÁMETROS!C6</f>
        <v>300</v>
      </c>
      <c r="D18" s="166"/>
      <c r="E18" s="72">
        <f t="shared" si="4"/>
        <v>0</v>
      </c>
      <c r="F18" s="10">
        <f t="shared" si="5"/>
        <v>0</v>
      </c>
      <c r="G18" s="32">
        <f t="shared" si="6"/>
        <v>0</v>
      </c>
      <c r="H18" s="31">
        <f t="shared" si="7"/>
        <v>0</v>
      </c>
    </row>
    <row r="19" spans="1:8" s="2" customFormat="1">
      <c r="A19" s="2" t="str">
        <f>PARÁMETROS!A9</f>
        <v>BOLSA DE BASURA</v>
      </c>
      <c r="B19" s="121" t="str">
        <f>PARÁMETROS!B9</f>
        <v>UNIDAD</v>
      </c>
      <c r="C19" s="10">
        <f>PARÁMETROS!C9</f>
        <v>49.84</v>
      </c>
      <c r="D19" s="166">
        <v>2</v>
      </c>
      <c r="E19" s="72">
        <f t="shared" si="4"/>
        <v>1.3888888888888888E-2</v>
      </c>
      <c r="F19" s="10">
        <f t="shared" si="5"/>
        <v>99.68</v>
      </c>
      <c r="G19" s="32">
        <f t="shared" si="6"/>
        <v>0.69222222222222229</v>
      </c>
      <c r="H19" s="31">
        <f t="shared" si="7"/>
        <v>1.9456348980692831E-3</v>
      </c>
    </row>
    <row r="20" spans="1:8" s="2" customFormat="1">
      <c r="A20" s="2" t="str">
        <f>PARÁMETROS!A22</f>
        <v>ESPONJA DE LIMPIEZA</v>
      </c>
      <c r="B20" s="121" t="str">
        <f>PARÁMETROS!B22</f>
        <v>UNIDAD</v>
      </c>
      <c r="C20" s="10">
        <f>PARÁMETROS!C22</f>
        <v>0</v>
      </c>
      <c r="D20" s="166"/>
      <c r="E20" s="72">
        <f t="shared" si="4"/>
        <v>0</v>
      </c>
      <c r="F20" s="10">
        <f t="shared" si="5"/>
        <v>0</v>
      </c>
      <c r="G20" s="32">
        <f t="shared" si="6"/>
        <v>0</v>
      </c>
      <c r="H20" s="31">
        <f t="shared" si="7"/>
        <v>0</v>
      </c>
    </row>
    <row r="21" spans="1:8" s="2" customFormat="1">
      <c r="A21" s="2" t="str">
        <f>PARÁMETROS!A14</f>
        <v>COLETO</v>
      </c>
      <c r="B21" s="121" t="str">
        <f>PARÁMETROS!B14</f>
        <v>UNIDAD</v>
      </c>
      <c r="C21" s="10">
        <f>PARÁMETROS!C14</f>
        <v>0</v>
      </c>
      <c r="D21" s="166"/>
      <c r="E21" s="72">
        <f t="shared" si="4"/>
        <v>0</v>
      </c>
      <c r="F21" s="10">
        <f t="shared" si="5"/>
        <v>0</v>
      </c>
      <c r="G21" s="32">
        <f t="shared" si="6"/>
        <v>0</v>
      </c>
      <c r="H21" s="31">
        <f t="shared" si="7"/>
        <v>0</v>
      </c>
    </row>
    <row r="22" spans="1:8" s="2" customFormat="1">
      <c r="A22" s="2" t="str">
        <f>PARÁMETROS!A33</f>
        <v xml:space="preserve">FÓSFOROS </v>
      </c>
      <c r="B22" s="123" t="str">
        <f>PARÁMETROS!B33</f>
        <v>C.GRDE</v>
      </c>
      <c r="C22" s="11">
        <f>PARÁMETROS!C33</f>
        <v>1.63</v>
      </c>
      <c r="D22" s="166"/>
      <c r="E22" s="72">
        <f t="shared" si="4"/>
        <v>0</v>
      </c>
      <c r="F22" s="10">
        <f t="shared" si="5"/>
        <v>0</v>
      </c>
      <c r="G22" s="32">
        <f t="shared" si="6"/>
        <v>0</v>
      </c>
      <c r="H22" s="31">
        <f t="shared" si="7"/>
        <v>0</v>
      </c>
    </row>
    <row r="23" spans="1:8">
      <c r="A23" s="270" t="s">
        <v>50</v>
      </c>
      <c r="B23" s="271"/>
      <c r="C23" s="271"/>
      <c r="D23" s="270"/>
      <c r="E23" s="270"/>
      <c r="F23" s="45">
        <f>SUM(F6:F22)</f>
        <v>43911.212076923075</v>
      </c>
      <c r="G23" s="47">
        <f>SUM(G6:G22)</f>
        <v>304.93897275641018</v>
      </c>
      <c r="H23" s="46">
        <f t="shared" si="3"/>
        <v>0.8570945689544831</v>
      </c>
    </row>
    <row r="24" spans="1:8">
      <c r="A24" t="str">
        <f>PARÁMETROS!A67</f>
        <v>MANO DE OBRA</v>
      </c>
      <c r="B24" s="5" t="str">
        <f>PARÁMETROS!B67</f>
        <v xml:space="preserve">JORNAL </v>
      </c>
      <c r="C24" s="32">
        <f>PARÁMETROS!C67</f>
        <v>1830.3553997660001</v>
      </c>
      <c r="D24" s="167">
        <v>4</v>
      </c>
      <c r="E24" s="73">
        <f>D24/F3</f>
        <v>2.7777777777777776E-2</v>
      </c>
      <c r="F24" s="6">
        <f>D24*C24</f>
        <v>7321.4215990640005</v>
      </c>
      <c r="G24" s="48">
        <f>F24/F3</f>
        <v>50.843205549055561</v>
      </c>
      <c r="H24" s="31">
        <f t="shared" si="3"/>
        <v>0.14290543104551698</v>
      </c>
    </row>
    <row r="25" spans="1:8">
      <c r="A25" s="270" t="s">
        <v>39</v>
      </c>
      <c r="B25" s="270"/>
      <c r="C25" s="270"/>
      <c r="D25" s="270"/>
      <c r="E25" s="272"/>
      <c r="F25" s="45">
        <f>F23+F24</f>
        <v>51232.633675987076</v>
      </c>
      <c r="G25" s="47">
        <f>G23+G24</f>
        <v>355.78217830546572</v>
      </c>
      <c r="H25" s="46">
        <f t="shared" si="3"/>
        <v>1</v>
      </c>
    </row>
    <row r="27" spans="1:8">
      <c r="A27" s="5" t="s">
        <v>107</v>
      </c>
      <c r="B27" s="60"/>
    </row>
  </sheetData>
  <mergeCells count="13">
    <mergeCell ref="H1:H5"/>
    <mergeCell ref="B2:C2"/>
    <mergeCell ref="D2:G2"/>
    <mergeCell ref="B3:E3"/>
    <mergeCell ref="F3:G3"/>
    <mergeCell ref="D4:E4"/>
    <mergeCell ref="F4:G4"/>
    <mergeCell ref="A4:C4"/>
    <mergeCell ref="A23:E23"/>
    <mergeCell ref="A25:E25"/>
    <mergeCell ref="A1:A3"/>
    <mergeCell ref="B1:C1"/>
    <mergeCell ref="D1:G1"/>
  </mergeCells>
  <printOptions horizontalCentered="1" verticalCentered="1" gridLines="1"/>
  <pageMargins left="0.70866141732283472" right="0.70866141732283472" top="0.74803149606299213" bottom="0.74803149606299213" header="0.31496062992125984" footer="0.31496062992125984"/>
  <pageSetup scale="85" orientation="landscape" r:id="rId1"/>
  <headerFooter>
    <oddFooter>&amp;RCASCOS DE PARCHITA DE 500GR</oddFooter>
  </headerFooter>
  <ignoredErrors>
    <ignoredError sqref="D9:D11 D15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I1" sqref="I1:I1048576"/>
    </sheetView>
  </sheetViews>
  <sheetFormatPr baseColWidth="10" defaultRowHeight="15"/>
  <cols>
    <col min="1" max="1" width="48.28515625" style="2" customWidth="1"/>
    <col min="2" max="5" width="11.42578125" style="2"/>
    <col min="6" max="6" width="11.85546875" style="2" customWidth="1"/>
    <col min="7" max="7" width="12.7109375" style="2" customWidth="1"/>
    <col min="8" max="16384" width="11.42578125" style="2"/>
  </cols>
  <sheetData>
    <row r="1" spans="1:8" ht="15" customHeight="1">
      <c r="A1" s="289" t="s">
        <v>158</v>
      </c>
      <c r="B1" s="238" t="s">
        <v>41</v>
      </c>
      <c r="C1" s="239"/>
      <c r="D1" s="246">
        <v>42254</v>
      </c>
      <c r="E1" s="247"/>
      <c r="F1" s="247"/>
      <c r="G1" s="247"/>
      <c r="H1" s="236" t="s">
        <v>43</v>
      </c>
    </row>
    <row r="2" spans="1:8" ht="15" customHeight="1">
      <c r="A2" s="290"/>
      <c r="B2" s="238" t="s">
        <v>42</v>
      </c>
      <c r="C2" s="239"/>
      <c r="D2" s="249" t="s">
        <v>157</v>
      </c>
      <c r="E2" s="250"/>
      <c r="F2" s="250"/>
      <c r="G2" s="250"/>
      <c r="H2" s="237"/>
    </row>
    <row r="3" spans="1:8" ht="15" customHeight="1">
      <c r="A3" s="290"/>
      <c r="B3" s="264" t="s">
        <v>37</v>
      </c>
      <c r="C3" s="265"/>
      <c r="D3" s="244"/>
      <c r="E3" s="245"/>
      <c r="F3" s="252">
        <v>168</v>
      </c>
      <c r="G3" s="252"/>
      <c r="H3" s="237"/>
    </row>
    <row r="4" spans="1:8" ht="15" customHeight="1">
      <c r="A4" s="282" t="s">
        <v>91</v>
      </c>
      <c r="B4" s="283"/>
      <c r="C4" s="284"/>
      <c r="D4" s="266" t="s">
        <v>85</v>
      </c>
      <c r="E4" s="255"/>
      <c r="F4" s="256" t="s">
        <v>86</v>
      </c>
      <c r="G4" s="257"/>
      <c r="H4" s="237"/>
    </row>
    <row r="5" spans="1:8">
      <c r="A5" s="213" t="str">
        <f>PARÁMETROS!A1</f>
        <v>MATERIA PRIMA E INSUMOS GAVCA</v>
      </c>
      <c r="B5" s="214" t="str">
        <f>PARÁMETROS!B1</f>
        <v>UNIDAD</v>
      </c>
      <c r="C5" s="215" t="str">
        <f>PARÁMETROS!C1</f>
        <v>COSTO</v>
      </c>
      <c r="D5" s="27" t="s">
        <v>35</v>
      </c>
      <c r="E5" s="27" t="s">
        <v>89</v>
      </c>
      <c r="F5" s="27" t="s">
        <v>35</v>
      </c>
      <c r="G5" s="26" t="s">
        <v>89</v>
      </c>
      <c r="H5" s="278"/>
    </row>
    <row r="6" spans="1:8">
      <c r="A6" s="2" t="str">
        <f>PARÁMETROS!A48</f>
        <v>LECHOSA</v>
      </c>
      <c r="B6" s="39" t="str">
        <f>PARÁMETROS!B48</f>
        <v>KILO</v>
      </c>
      <c r="C6" s="172">
        <f>PARÁMETROS!C48</f>
        <v>150</v>
      </c>
      <c r="D6" s="61">
        <v>141</v>
      </c>
      <c r="E6" s="136">
        <f>D6/F$3</f>
        <v>0.8392857142857143</v>
      </c>
      <c r="F6" s="9">
        <f>D6*C6</f>
        <v>21150</v>
      </c>
      <c r="G6" s="32">
        <f>F6/F$3</f>
        <v>125.89285714285714</v>
      </c>
      <c r="H6" s="30">
        <f t="shared" ref="H6:H26" si="0">G6/G$26</f>
        <v>0.38326237381398598</v>
      </c>
    </row>
    <row r="7" spans="1:8">
      <c r="A7" s="2" t="str">
        <f>PARÁMETROS!A8</f>
        <v>AZÚCAR</v>
      </c>
      <c r="B7" s="8" t="str">
        <f>PARÁMETROS!B8</f>
        <v>KILO</v>
      </c>
      <c r="C7" s="17">
        <f>PARÁMETROS!C8</f>
        <v>300</v>
      </c>
      <c r="D7" s="61">
        <v>44</v>
      </c>
      <c r="E7" s="137">
        <f t="shared" ref="E7:E23" si="1">D7/F$3</f>
        <v>0.26190476190476192</v>
      </c>
      <c r="F7" s="10">
        <f t="shared" ref="F7:F23" si="2">D7*C7</f>
        <v>13200</v>
      </c>
      <c r="G7" s="32">
        <f t="shared" ref="G7:G23" si="3">F7/F$3</f>
        <v>78.571428571428569</v>
      </c>
      <c r="H7" s="31">
        <f t="shared" si="0"/>
        <v>0.23919921202575012</v>
      </c>
    </row>
    <row r="8" spans="1:8">
      <c r="A8" s="2" t="str">
        <f>PARÁMETROS!A64</f>
        <v>VINAGRE</v>
      </c>
      <c r="B8" s="8" t="str">
        <f>PARÁMETROS!B64</f>
        <v>LITRO</v>
      </c>
      <c r="C8" s="17">
        <f>PARÁMETROS!C64</f>
        <v>255.06</v>
      </c>
      <c r="D8" s="61">
        <v>0.5</v>
      </c>
      <c r="E8" s="137">
        <f t="shared" si="1"/>
        <v>2.976190476190476E-3</v>
      </c>
      <c r="F8" s="10">
        <f t="shared" si="2"/>
        <v>127.53</v>
      </c>
      <c r="G8" s="32">
        <f t="shared" si="3"/>
        <v>0.75910714285714287</v>
      </c>
      <c r="H8" s="31">
        <f t="shared" si="0"/>
        <v>2.3109905689124178E-3</v>
      </c>
    </row>
    <row r="9" spans="1:8">
      <c r="A9" s="2" t="str">
        <f>PARÁMETROS!A13</f>
        <v>CLAVITO</v>
      </c>
      <c r="B9" s="8" t="str">
        <f>PARÁMETROS!B13</f>
        <v>GRAMO</v>
      </c>
      <c r="C9" s="174">
        <f>PARÁMETROS!C13</f>
        <v>6.6</v>
      </c>
      <c r="D9" s="61">
        <v>22</v>
      </c>
      <c r="E9" s="137">
        <f t="shared" si="1"/>
        <v>0.13095238095238096</v>
      </c>
      <c r="F9" s="10">
        <f t="shared" si="2"/>
        <v>145.19999999999999</v>
      </c>
      <c r="G9" s="32">
        <f t="shared" si="3"/>
        <v>0.86428571428571421</v>
      </c>
      <c r="H9" s="31">
        <f t="shared" si="0"/>
        <v>2.631191332283251E-3</v>
      </c>
    </row>
    <row r="10" spans="1:8">
      <c r="A10" s="2" t="str">
        <f>PARÁMETROS!A36</f>
        <v>FRASCO  500GR</v>
      </c>
      <c r="B10" s="8" t="str">
        <f>PARÁMETROS!B36</f>
        <v>UNIDAD</v>
      </c>
      <c r="C10" s="17">
        <f>PARÁMETROS!C36</f>
        <v>57.41</v>
      </c>
      <c r="D10" s="169">
        <f>F3</f>
        <v>168</v>
      </c>
      <c r="E10" s="137">
        <f t="shared" si="1"/>
        <v>1</v>
      </c>
      <c r="F10" s="10">
        <f t="shared" si="2"/>
        <v>9644.8799999999992</v>
      </c>
      <c r="G10" s="32">
        <f t="shared" si="3"/>
        <v>57.41</v>
      </c>
      <c r="H10" s="31">
        <f t="shared" si="0"/>
        <v>0.17477634061234218</v>
      </c>
    </row>
    <row r="11" spans="1:8">
      <c r="A11" s="2" t="str">
        <f>PARÁMETROS!A25</f>
        <v>ETIQUETA FRASCO DE 500GR</v>
      </c>
      <c r="B11" s="8" t="str">
        <f>PARÁMETROS!B25</f>
        <v>UNIDAD</v>
      </c>
      <c r="C11" s="17">
        <f>PARÁMETROS!C25</f>
        <v>29.25</v>
      </c>
      <c r="D11" s="169">
        <f>F3</f>
        <v>168</v>
      </c>
      <c r="E11" s="137">
        <f t="shared" si="1"/>
        <v>1</v>
      </c>
      <c r="F11" s="10">
        <f t="shared" si="2"/>
        <v>4914</v>
      </c>
      <c r="G11" s="32">
        <f t="shared" si="3"/>
        <v>29.25</v>
      </c>
      <c r="H11" s="31">
        <f t="shared" si="0"/>
        <v>8.9047343022313347E-2</v>
      </c>
    </row>
    <row r="12" spans="1:8">
      <c r="A12" s="2" t="str">
        <f>PARÁMETROS!A30</f>
        <v>PRESINTO TAPA DE 500GR</v>
      </c>
      <c r="B12" s="8" t="str">
        <f>PARÁMETROS!B30</f>
        <v>UNIDAD</v>
      </c>
      <c r="C12" s="17">
        <f>PARÁMETROS!C30</f>
        <v>0.5</v>
      </c>
      <c r="D12" s="169">
        <f>F3</f>
        <v>168</v>
      </c>
      <c r="E12" s="137">
        <f t="shared" si="1"/>
        <v>1</v>
      </c>
      <c r="F12" s="10">
        <f t="shared" si="2"/>
        <v>84</v>
      </c>
      <c r="G12" s="32">
        <f t="shared" si="3"/>
        <v>0.5</v>
      </c>
      <c r="H12" s="31">
        <f t="shared" si="0"/>
        <v>1.5221768038002281E-3</v>
      </c>
    </row>
    <row r="13" spans="1:8">
      <c r="A13" s="2" t="str">
        <f>PARÁMETROS!A41</f>
        <v>GAS (COSTO 1% DE CONSUMO)</v>
      </c>
      <c r="B13" s="8" t="str">
        <f>PARÁMETROS!B41</f>
        <v>1%</v>
      </c>
      <c r="C13" s="17">
        <f>PARÁMETROS!C41</f>
        <v>92.307692307692307</v>
      </c>
      <c r="D13" s="61">
        <v>3</v>
      </c>
      <c r="E13" s="137">
        <f t="shared" si="1"/>
        <v>1.7857142857142856E-2</v>
      </c>
      <c r="F13" s="10">
        <f t="shared" si="2"/>
        <v>276.92307692307691</v>
      </c>
      <c r="G13" s="32">
        <f t="shared" si="3"/>
        <v>1.6483516483516483</v>
      </c>
      <c r="H13" s="31">
        <f t="shared" si="0"/>
        <v>5.0181652872534985E-3</v>
      </c>
    </row>
    <row r="14" spans="1:8">
      <c r="A14" s="2" t="str">
        <f>PARÁMETROS!A20</f>
        <v>ELECTRICIDAD</v>
      </c>
      <c r="B14" s="8" t="str">
        <f>PARÁMETROS!B20</f>
        <v>KWH</v>
      </c>
      <c r="C14" s="17">
        <f>PARÁMETROS!C20</f>
        <v>0</v>
      </c>
      <c r="D14" s="61"/>
      <c r="E14" s="137">
        <f t="shared" si="1"/>
        <v>0</v>
      </c>
      <c r="F14" s="10">
        <f t="shared" si="2"/>
        <v>0</v>
      </c>
      <c r="G14" s="32">
        <f t="shared" si="3"/>
        <v>0</v>
      </c>
      <c r="H14" s="31">
        <f t="shared" si="0"/>
        <v>0</v>
      </c>
    </row>
    <row r="15" spans="1:8">
      <c r="A15" s="2" t="str">
        <f>PARÁMETROS!A4</f>
        <v>AGUA</v>
      </c>
      <c r="B15" s="8" t="str">
        <f>PARÁMETROS!B4</f>
        <v>UNITARIO E</v>
      </c>
      <c r="C15" s="17">
        <f>PARÁMETROS!C4</f>
        <v>0</v>
      </c>
      <c r="D15" s="61"/>
      <c r="E15" s="137">
        <f t="shared" si="1"/>
        <v>0</v>
      </c>
      <c r="F15" s="10">
        <f t="shared" si="2"/>
        <v>0</v>
      </c>
      <c r="G15" s="32">
        <f t="shared" si="3"/>
        <v>0</v>
      </c>
      <c r="H15" s="31">
        <f t="shared" si="0"/>
        <v>0</v>
      </c>
    </row>
    <row r="16" spans="1:8">
      <c r="A16" s="2" t="str">
        <f>PARÁMETROS!A43</f>
        <v>GUANTES DE LATEX RE-USABLES</v>
      </c>
      <c r="B16" s="8" t="str">
        <f>PARÁMETROS!B43</f>
        <v>PAR</v>
      </c>
      <c r="C16" s="173">
        <f>PARÁMETROS!C43</f>
        <v>335.63</v>
      </c>
      <c r="D16" s="61">
        <f>3/10</f>
        <v>0.3</v>
      </c>
      <c r="E16" s="137">
        <f t="shared" si="1"/>
        <v>1.7857142857142857E-3</v>
      </c>
      <c r="F16" s="10">
        <f t="shared" si="2"/>
        <v>100.68899999999999</v>
      </c>
      <c r="G16" s="32">
        <f t="shared" si="3"/>
        <v>0.59933928571428563</v>
      </c>
      <c r="H16" s="31">
        <f t="shared" si="0"/>
        <v>1.824600716640966E-3</v>
      </c>
    </row>
    <row r="17" spans="1:8">
      <c r="A17" s="2" t="str">
        <f>PARÁMETROS!A17</f>
        <v>DETERGENTE PARA PISOS</v>
      </c>
      <c r="B17" s="8" t="str">
        <f>PARÁMETROS!B17</f>
        <v>LITRO</v>
      </c>
      <c r="C17" s="17">
        <f>PARÁMETROS!C17</f>
        <v>12.92</v>
      </c>
      <c r="D17" s="139"/>
      <c r="E17" s="137">
        <f t="shared" si="1"/>
        <v>0</v>
      </c>
      <c r="F17" s="10">
        <f t="shared" si="2"/>
        <v>0</v>
      </c>
      <c r="G17" s="32">
        <f t="shared" si="3"/>
        <v>0</v>
      </c>
      <c r="H17" s="31">
        <f t="shared" si="0"/>
        <v>0</v>
      </c>
    </row>
    <row r="18" spans="1:8">
      <c r="A18" s="2" t="str">
        <f>PARÁMETROS!A18</f>
        <v>DETERGENTE PARA VAJILLAS</v>
      </c>
      <c r="B18" s="8" t="str">
        <f>PARÁMETROS!B18</f>
        <v>LITRO</v>
      </c>
      <c r="C18" s="17">
        <f>PARÁMETROS!C18</f>
        <v>32.06</v>
      </c>
      <c r="D18" s="139"/>
      <c r="E18" s="137">
        <f t="shared" si="1"/>
        <v>0</v>
      </c>
      <c r="F18" s="10">
        <f t="shared" si="2"/>
        <v>0</v>
      </c>
      <c r="G18" s="32">
        <f t="shared" si="3"/>
        <v>0</v>
      </c>
      <c r="H18" s="31">
        <f t="shared" si="0"/>
        <v>0</v>
      </c>
    </row>
    <row r="19" spans="1:8">
      <c r="A19" s="2" t="str">
        <f>PARÁMETROS!A6</f>
        <v>ALCOHOL</v>
      </c>
      <c r="B19" s="8" t="str">
        <f>PARÁMETROS!B6</f>
        <v>LITRO</v>
      </c>
      <c r="C19" s="17">
        <f>PARÁMETROS!C6</f>
        <v>300</v>
      </c>
      <c r="D19" s="139"/>
      <c r="E19" s="137">
        <f t="shared" si="1"/>
        <v>0</v>
      </c>
      <c r="F19" s="10">
        <f t="shared" si="2"/>
        <v>0</v>
      </c>
      <c r="G19" s="32">
        <f t="shared" si="3"/>
        <v>0</v>
      </c>
      <c r="H19" s="31">
        <f t="shared" si="0"/>
        <v>0</v>
      </c>
    </row>
    <row r="20" spans="1:8">
      <c r="A20" s="2" t="str">
        <f>PARÁMETROS!A9</f>
        <v>BOLSA DE BASURA</v>
      </c>
      <c r="B20" s="8" t="str">
        <f>PARÁMETROS!B9</f>
        <v>UNIDAD</v>
      </c>
      <c r="C20" s="17">
        <f>PARÁMETROS!C9</f>
        <v>49.84</v>
      </c>
      <c r="D20" s="139">
        <v>1</v>
      </c>
      <c r="E20" s="137">
        <f t="shared" si="1"/>
        <v>5.9523809523809521E-3</v>
      </c>
      <c r="F20" s="10">
        <f t="shared" si="2"/>
        <v>49.84</v>
      </c>
      <c r="G20" s="32">
        <f t="shared" si="3"/>
        <v>0.29666666666666669</v>
      </c>
      <c r="H20" s="31">
        <f t="shared" si="0"/>
        <v>9.0315823692146871E-4</v>
      </c>
    </row>
    <row r="21" spans="1:8">
      <c r="A21" s="2" t="str">
        <f>PARÁMETROS!A22</f>
        <v>ESPONJA DE LIMPIEZA</v>
      </c>
      <c r="B21" s="8" t="str">
        <f>PARÁMETROS!B22</f>
        <v>UNIDAD</v>
      </c>
      <c r="C21" s="17">
        <f>PARÁMETROS!C22</f>
        <v>0</v>
      </c>
      <c r="D21" s="139"/>
      <c r="E21" s="137">
        <f t="shared" si="1"/>
        <v>0</v>
      </c>
      <c r="F21" s="10">
        <f t="shared" si="2"/>
        <v>0</v>
      </c>
      <c r="G21" s="32">
        <f t="shared" si="3"/>
        <v>0</v>
      </c>
      <c r="H21" s="31">
        <f t="shared" si="0"/>
        <v>0</v>
      </c>
    </row>
    <row r="22" spans="1:8">
      <c r="A22" s="2" t="str">
        <f>PARÁMETROS!A14</f>
        <v>COLETO</v>
      </c>
      <c r="B22" s="8" t="str">
        <f>PARÁMETROS!B14</f>
        <v>UNIDAD</v>
      </c>
      <c r="C22" s="17">
        <f>PARÁMETROS!C14</f>
        <v>0</v>
      </c>
      <c r="D22" s="139"/>
      <c r="E22" s="137">
        <f t="shared" si="1"/>
        <v>0</v>
      </c>
      <c r="F22" s="10">
        <f t="shared" si="2"/>
        <v>0</v>
      </c>
      <c r="G22" s="32">
        <f t="shared" si="3"/>
        <v>0</v>
      </c>
      <c r="H22" s="31">
        <f t="shared" si="0"/>
        <v>0</v>
      </c>
    </row>
    <row r="23" spans="1:8">
      <c r="A23" s="2" t="str">
        <f>PARÁMETROS!A33</f>
        <v xml:space="preserve">FÓSFOROS </v>
      </c>
      <c r="B23" s="40" t="str">
        <f>PARÁMETROS!B33</f>
        <v>C.GRDE</v>
      </c>
      <c r="C23" s="17">
        <f>PARÁMETROS!C33</f>
        <v>1.63</v>
      </c>
      <c r="D23" s="142"/>
      <c r="E23" s="137">
        <f t="shared" si="1"/>
        <v>0</v>
      </c>
      <c r="F23" s="10">
        <f t="shared" si="2"/>
        <v>0</v>
      </c>
      <c r="G23" s="32">
        <f t="shared" si="3"/>
        <v>0</v>
      </c>
      <c r="H23" s="31">
        <f t="shared" si="0"/>
        <v>0</v>
      </c>
    </row>
    <row r="24" spans="1:8">
      <c r="A24" s="285" t="s">
        <v>38</v>
      </c>
      <c r="B24" s="286"/>
      <c r="C24" s="286"/>
      <c r="D24" s="286"/>
      <c r="E24" s="287"/>
      <c r="F24" s="216">
        <f>SUM(F6:F23)</f>
        <v>49693.062076923066</v>
      </c>
      <c r="G24" s="216">
        <f>SUM(G6:G23)</f>
        <v>295.7920361721612</v>
      </c>
      <c r="H24" s="217">
        <f t="shared" si="0"/>
        <v>0.90049555242020352</v>
      </c>
    </row>
    <row r="25" spans="1:8">
      <c r="A25" s="4" t="str">
        <f>PARÁMETROS!A67</f>
        <v>MANO DE OBRA</v>
      </c>
      <c r="B25" s="5" t="str">
        <f>PARÁMETROS!B67</f>
        <v xml:space="preserve">JORNAL </v>
      </c>
      <c r="C25" s="6">
        <f>PARÁMETROS!C67</f>
        <v>1830.3553997660001</v>
      </c>
      <c r="D25" s="61">
        <v>3</v>
      </c>
      <c r="E25" s="74">
        <f>D25/F3</f>
        <v>1.7857142857142856E-2</v>
      </c>
      <c r="F25" s="6">
        <f>D25*C25</f>
        <v>5491.0661992980004</v>
      </c>
      <c r="G25" s="6">
        <f>F25/F3</f>
        <v>32.68491785296429</v>
      </c>
      <c r="H25" s="49">
        <f t="shared" si="0"/>
        <v>9.9504447579796387E-2</v>
      </c>
    </row>
    <row r="26" spans="1:8">
      <c r="A26" s="288" t="s">
        <v>39</v>
      </c>
      <c r="B26" s="288"/>
      <c r="C26" s="288"/>
      <c r="D26" s="288"/>
      <c r="E26" s="288"/>
      <c r="F26" s="216">
        <f>F24+F25</f>
        <v>55184.128276221069</v>
      </c>
      <c r="G26" s="216">
        <f>G24+G25</f>
        <v>328.47695402512551</v>
      </c>
      <c r="H26" s="217">
        <f t="shared" si="0"/>
        <v>1</v>
      </c>
    </row>
    <row r="28" spans="1:8">
      <c r="A28" s="5" t="s">
        <v>87</v>
      </c>
      <c r="B28" s="60"/>
    </row>
  </sheetData>
  <mergeCells count="13">
    <mergeCell ref="A24:E24"/>
    <mergeCell ref="A26:E26"/>
    <mergeCell ref="A1:A3"/>
    <mergeCell ref="B1:C1"/>
    <mergeCell ref="D1:G1"/>
    <mergeCell ref="H1:H5"/>
    <mergeCell ref="B2:C2"/>
    <mergeCell ref="D2:G2"/>
    <mergeCell ref="B3:E3"/>
    <mergeCell ref="F3:G3"/>
    <mergeCell ref="A4:C4"/>
    <mergeCell ref="D4:E4"/>
    <mergeCell ref="F4:G4"/>
  </mergeCells>
  <printOptions horizontalCentered="1" verticalCentered="1" gridLines="1"/>
  <pageMargins left="0.70866141732283472" right="0" top="0.74803149606299213" bottom="0.74803149606299213" header="0.31496062992125984" footer="0.31496062992125984"/>
  <pageSetup scale="85" orientation="landscape" r:id="rId1"/>
  <headerFooter>
    <oddFooter>&amp;RDULCE LECHOSA 500GR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9"/>
  <sheetViews>
    <sheetView zoomScale="75" zoomScaleNormal="75" workbookViewId="0">
      <selection activeCell="D21" sqref="D21"/>
    </sheetView>
  </sheetViews>
  <sheetFormatPr baseColWidth="10" defaultRowHeight="15"/>
  <cols>
    <col min="1" max="1" width="48.28515625" customWidth="1"/>
    <col min="6" max="6" width="11.85546875" customWidth="1"/>
    <col min="7" max="7" width="12.7109375" customWidth="1"/>
  </cols>
  <sheetData>
    <row r="1" spans="1:8" ht="15" customHeight="1">
      <c r="A1" s="289" t="s">
        <v>51</v>
      </c>
      <c r="B1" s="238" t="s">
        <v>41</v>
      </c>
      <c r="C1" s="239"/>
      <c r="D1" s="246">
        <v>42405</v>
      </c>
      <c r="E1" s="247"/>
      <c r="F1" s="247"/>
      <c r="G1" s="247"/>
      <c r="H1" s="236" t="s">
        <v>43</v>
      </c>
    </row>
    <row r="2" spans="1:8" ht="15" customHeight="1">
      <c r="A2" s="290"/>
      <c r="B2" s="238" t="s">
        <v>42</v>
      </c>
      <c r="C2" s="239"/>
      <c r="D2" s="249" t="s">
        <v>164</v>
      </c>
      <c r="E2" s="250"/>
      <c r="F2" s="250"/>
      <c r="G2" s="250"/>
      <c r="H2" s="237"/>
    </row>
    <row r="3" spans="1:8" ht="15" customHeight="1">
      <c r="A3" s="290"/>
      <c r="B3" s="264" t="s">
        <v>37</v>
      </c>
      <c r="C3" s="265"/>
      <c r="D3" s="244"/>
      <c r="E3" s="245"/>
      <c r="F3" s="252">
        <v>131</v>
      </c>
      <c r="G3" s="252"/>
      <c r="H3" s="237"/>
    </row>
    <row r="4" spans="1:8" s="2" customFormat="1" ht="15" customHeight="1">
      <c r="A4" s="282" t="s">
        <v>91</v>
      </c>
      <c r="B4" s="283"/>
      <c r="C4" s="284"/>
      <c r="D4" s="266" t="s">
        <v>85</v>
      </c>
      <c r="E4" s="255"/>
      <c r="F4" s="256" t="s">
        <v>86</v>
      </c>
      <c r="G4" s="257"/>
      <c r="H4" s="237"/>
    </row>
    <row r="5" spans="1:8">
      <c r="A5" s="98" t="str">
        <f>PARÁMETROS!A1</f>
        <v>MATERIA PRIMA E INSUMOS GAVCA</v>
      </c>
      <c r="B5" s="141" t="str">
        <f>PARÁMETROS!B1</f>
        <v>UNIDAD</v>
      </c>
      <c r="C5" s="99" t="str">
        <f>PARÁMETROS!C1</f>
        <v>COSTO</v>
      </c>
      <c r="D5" s="27" t="s">
        <v>35</v>
      </c>
      <c r="E5" s="27" t="s">
        <v>89</v>
      </c>
      <c r="F5" s="27" t="s">
        <v>35</v>
      </c>
      <c r="G5" s="26" t="s">
        <v>89</v>
      </c>
      <c r="H5" s="278"/>
    </row>
    <row r="6" spans="1:8">
      <c r="A6" t="str">
        <f>PARÁMETROS!A48</f>
        <v>LECHOSA</v>
      </c>
      <c r="B6" s="39" t="str">
        <f>PARÁMETROS!B48</f>
        <v>KILO</v>
      </c>
      <c r="C6" s="172">
        <f>PARÁMETROS!C48</f>
        <v>150</v>
      </c>
      <c r="D6" s="28">
        <v>84</v>
      </c>
      <c r="E6" s="136">
        <f>D6/F$3</f>
        <v>0.64122137404580148</v>
      </c>
      <c r="F6" s="9">
        <f>D6*C6</f>
        <v>12600</v>
      </c>
      <c r="G6" s="32">
        <f>F6/F$3</f>
        <v>96.18320610687023</v>
      </c>
      <c r="H6" s="30">
        <f t="shared" ref="H6:H27" si="0">G6/G$27</f>
        <v>0.25667472290743348</v>
      </c>
    </row>
    <row r="7" spans="1:8">
      <c r="A7" t="str">
        <f>PARÁMETROS!A53</f>
        <v>PIÑA</v>
      </c>
      <c r="B7" s="8" t="str">
        <f>PARÁMETROS!B53</f>
        <v>KILO</v>
      </c>
      <c r="C7" s="17">
        <f>PARÁMETROS!C53</f>
        <v>300</v>
      </c>
      <c r="D7" s="28">
        <v>37</v>
      </c>
      <c r="E7" s="137">
        <f t="shared" ref="E7:E17" si="1">D7/F$3</f>
        <v>0.28244274809160308</v>
      </c>
      <c r="F7" s="10">
        <f t="shared" ref="F7:F17" si="2">D7*C7</f>
        <v>11100</v>
      </c>
      <c r="G7" s="32">
        <f t="shared" ref="G7:G17" si="3">F7/F$3</f>
        <v>84.732824427480921</v>
      </c>
      <c r="H7" s="31">
        <f t="shared" si="0"/>
        <v>0.22611820827559614</v>
      </c>
    </row>
    <row r="8" spans="1:8">
      <c r="A8" t="str">
        <f>PARÁMETROS!A8</f>
        <v>AZÚCAR</v>
      </c>
      <c r="B8" s="8" t="str">
        <f>PARÁMETROS!B8</f>
        <v>KILO</v>
      </c>
      <c r="C8" s="17">
        <f>PARÁMETROS!C8</f>
        <v>300</v>
      </c>
      <c r="D8" s="28">
        <v>26.1</v>
      </c>
      <c r="E8" s="137">
        <f t="shared" si="1"/>
        <v>0.19923664122137405</v>
      </c>
      <c r="F8" s="10">
        <f t="shared" si="2"/>
        <v>7830</v>
      </c>
      <c r="G8" s="32">
        <f t="shared" si="3"/>
        <v>59.770992366412216</v>
      </c>
      <c r="H8" s="31">
        <f t="shared" si="0"/>
        <v>0.15950500637819079</v>
      </c>
    </row>
    <row r="9" spans="1:8">
      <c r="A9" t="str">
        <f>PARÁMETROS!A64</f>
        <v>VINAGRE</v>
      </c>
      <c r="B9" s="8" t="str">
        <f>PARÁMETROS!B64</f>
        <v>LITRO</v>
      </c>
      <c r="C9" s="17">
        <f>PARÁMETROS!C64</f>
        <v>255.06</v>
      </c>
      <c r="D9" s="28">
        <v>0.5</v>
      </c>
      <c r="E9" s="137">
        <f t="shared" si="1"/>
        <v>3.8167938931297708E-3</v>
      </c>
      <c r="F9" s="10">
        <f t="shared" si="2"/>
        <v>127.53</v>
      </c>
      <c r="G9" s="32">
        <f t="shared" si="3"/>
        <v>0.97351145038167941</v>
      </c>
      <c r="H9" s="31">
        <f t="shared" si="0"/>
        <v>2.5979148739988089E-3</v>
      </c>
    </row>
    <row r="10" spans="1:8" s="2" customFormat="1">
      <c r="A10" s="2" t="str">
        <f>PARÁMETROS!A13</f>
        <v>CLAVITO</v>
      </c>
      <c r="B10" s="8" t="str">
        <f>PARÁMETROS!B13</f>
        <v>GRAMO</v>
      </c>
      <c r="C10" s="174">
        <f>PARÁMETROS!C13</f>
        <v>6.6</v>
      </c>
      <c r="D10" s="61">
        <v>22</v>
      </c>
      <c r="E10" s="137">
        <f t="shared" si="1"/>
        <v>0.16793893129770993</v>
      </c>
      <c r="F10" s="10">
        <f t="shared" si="2"/>
        <v>145.19999999999999</v>
      </c>
      <c r="G10" s="32">
        <f t="shared" si="3"/>
        <v>1.1083969465648853</v>
      </c>
      <c r="H10" s="31">
        <f t="shared" si="0"/>
        <v>2.9578706163618518E-3</v>
      </c>
    </row>
    <row r="11" spans="1:8">
      <c r="A11" t="str">
        <f>PARÁMETROS!A36</f>
        <v>FRASCO  500GR</v>
      </c>
      <c r="B11" s="8" t="str">
        <f>PARÁMETROS!B36</f>
        <v>UNIDAD</v>
      </c>
      <c r="C11" s="17">
        <f>PARÁMETROS!C36</f>
        <v>57.41</v>
      </c>
      <c r="D11" s="169">
        <f>F3</f>
        <v>131</v>
      </c>
      <c r="E11" s="137">
        <f t="shared" si="1"/>
        <v>1</v>
      </c>
      <c r="F11" s="10">
        <f t="shared" si="2"/>
        <v>7520.7099999999991</v>
      </c>
      <c r="G11" s="32">
        <f t="shared" si="3"/>
        <v>57.41</v>
      </c>
      <c r="H11" s="31">
        <f t="shared" si="0"/>
        <v>0.15320445677120348</v>
      </c>
    </row>
    <row r="12" spans="1:8">
      <c r="A12" t="str">
        <f>PARÁMETROS!A25</f>
        <v>ETIQUETA FRASCO DE 500GR</v>
      </c>
      <c r="B12" s="8" t="str">
        <f>PARÁMETROS!B25</f>
        <v>UNIDAD</v>
      </c>
      <c r="C12" s="17">
        <f>PARÁMETROS!C25</f>
        <v>29.25</v>
      </c>
      <c r="D12" s="169">
        <f>F3</f>
        <v>131</v>
      </c>
      <c r="E12" s="137">
        <f t="shared" si="1"/>
        <v>1</v>
      </c>
      <c r="F12" s="10">
        <f t="shared" si="2"/>
        <v>3831.75</v>
      </c>
      <c r="G12" s="32">
        <f t="shared" si="3"/>
        <v>29.25</v>
      </c>
      <c r="H12" s="31">
        <f t="shared" si="0"/>
        <v>7.8056616627028425E-2</v>
      </c>
    </row>
    <row r="13" spans="1:8">
      <c r="A13" t="str">
        <f>PARÁMETROS!A30</f>
        <v>PRESINTO TAPA DE 500GR</v>
      </c>
      <c r="B13" s="8" t="str">
        <f>PARÁMETROS!B30</f>
        <v>UNIDAD</v>
      </c>
      <c r="C13" s="17">
        <f>PARÁMETROS!C30</f>
        <v>0.5</v>
      </c>
      <c r="D13" s="169">
        <f>F3</f>
        <v>131</v>
      </c>
      <c r="E13" s="137">
        <f t="shared" si="1"/>
        <v>1</v>
      </c>
      <c r="F13" s="10">
        <f t="shared" si="2"/>
        <v>65.5</v>
      </c>
      <c r="G13" s="32">
        <f t="shared" si="3"/>
        <v>0.5</v>
      </c>
      <c r="H13" s="31">
        <f t="shared" si="0"/>
        <v>1.3343011389235627E-3</v>
      </c>
    </row>
    <row r="14" spans="1:8">
      <c r="A14" t="str">
        <f>PARÁMETROS!A41</f>
        <v>GAS (COSTO 1% DE CONSUMO)</v>
      </c>
      <c r="B14" s="8" t="str">
        <f>PARÁMETROS!B41</f>
        <v>1%</v>
      </c>
      <c r="C14" s="17">
        <f>PARÁMETROS!C41</f>
        <v>92.307692307692307</v>
      </c>
      <c r="D14" s="28">
        <v>3</v>
      </c>
      <c r="E14" s="137">
        <f t="shared" si="1"/>
        <v>2.2900763358778626E-2</v>
      </c>
      <c r="F14" s="10">
        <f t="shared" si="2"/>
        <v>276.92307692307691</v>
      </c>
      <c r="G14" s="32">
        <f t="shared" si="3"/>
        <v>2.1139166177334117</v>
      </c>
      <c r="H14" s="31">
        <f t="shared" si="0"/>
        <v>5.6412027012622736E-3</v>
      </c>
    </row>
    <row r="15" spans="1:8">
      <c r="A15" t="str">
        <f>PARÁMETROS!A20</f>
        <v>ELECTRICIDAD</v>
      </c>
      <c r="B15" s="8" t="str">
        <f>PARÁMETROS!B20</f>
        <v>KWH</v>
      </c>
      <c r="C15" s="17">
        <f>PARÁMETROS!C20</f>
        <v>0</v>
      </c>
      <c r="D15" s="28"/>
      <c r="E15" s="137">
        <f t="shared" si="1"/>
        <v>0</v>
      </c>
      <c r="F15" s="10">
        <f t="shared" si="2"/>
        <v>0</v>
      </c>
      <c r="G15" s="32">
        <f t="shared" si="3"/>
        <v>0</v>
      </c>
      <c r="H15" s="31">
        <f t="shared" si="0"/>
        <v>0</v>
      </c>
    </row>
    <row r="16" spans="1:8">
      <c r="A16" t="str">
        <f>PARÁMETROS!A4</f>
        <v>AGUA</v>
      </c>
      <c r="B16" s="8" t="str">
        <f>PARÁMETROS!B4</f>
        <v>UNITARIO E</v>
      </c>
      <c r="C16" s="17">
        <f>PARÁMETROS!C4</f>
        <v>0</v>
      </c>
      <c r="D16" s="28"/>
      <c r="E16" s="137">
        <f t="shared" si="1"/>
        <v>0</v>
      </c>
      <c r="F16" s="10">
        <f t="shared" si="2"/>
        <v>0</v>
      </c>
      <c r="G16" s="32">
        <f t="shared" si="3"/>
        <v>0</v>
      </c>
      <c r="H16" s="31">
        <f t="shared" si="0"/>
        <v>0</v>
      </c>
    </row>
    <row r="17" spans="1:8" s="2" customFormat="1">
      <c r="A17" s="2" t="str">
        <f>PARÁMETROS!A43</f>
        <v>GUANTES DE LATEX RE-USABLES</v>
      </c>
      <c r="B17" s="8" t="str">
        <f>PARÁMETROS!B43</f>
        <v>PAR</v>
      </c>
      <c r="C17" s="173">
        <f>PARÁMETROS!C43</f>
        <v>335.63</v>
      </c>
      <c r="D17" s="61">
        <f>3/10</f>
        <v>0.3</v>
      </c>
      <c r="E17" s="137">
        <f t="shared" si="1"/>
        <v>2.2900763358778627E-3</v>
      </c>
      <c r="F17" s="10">
        <f t="shared" si="2"/>
        <v>100.68899999999999</v>
      </c>
      <c r="G17" s="32">
        <f t="shared" si="3"/>
        <v>0.76861832061068702</v>
      </c>
      <c r="H17" s="31">
        <f t="shared" si="0"/>
        <v>2.0511366011767116E-3</v>
      </c>
    </row>
    <row r="18" spans="1:8" s="2" customFormat="1">
      <c r="A18" s="2" t="str">
        <f>PARÁMETROS!A17</f>
        <v>DETERGENTE PARA PISOS</v>
      </c>
      <c r="B18" s="8" t="str">
        <f>PARÁMETROS!B17</f>
        <v>LITRO</v>
      </c>
      <c r="C18" s="17">
        <f>PARÁMETROS!C17</f>
        <v>12.92</v>
      </c>
      <c r="D18" s="139"/>
      <c r="E18" s="137">
        <f t="shared" ref="E18:E24" si="4">D18/F$3</f>
        <v>0</v>
      </c>
      <c r="F18" s="10">
        <f t="shared" ref="F18:F24" si="5">D18*C18</f>
        <v>0</v>
      </c>
      <c r="G18" s="32">
        <f t="shared" ref="G18:G24" si="6">F18/F$3</f>
        <v>0</v>
      </c>
      <c r="H18" s="31">
        <f t="shared" ref="H18:H24" si="7">G18/G$27</f>
        <v>0</v>
      </c>
    </row>
    <row r="19" spans="1:8" s="2" customFormat="1">
      <c r="A19" s="2" t="str">
        <f>PARÁMETROS!A18</f>
        <v>DETERGENTE PARA VAJILLAS</v>
      </c>
      <c r="B19" s="8" t="str">
        <f>PARÁMETROS!B18</f>
        <v>LITRO</v>
      </c>
      <c r="C19" s="17">
        <f>PARÁMETROS!C18</f>
        <v>32.06</v>
      </c>
      <c r="D19" s="139"/>
      <c r="E19" s="137">
        <f t="shared" si="4"/>
        <v>0</v>
      </c>
      <c r="F19" s="10">
        <f t="shared" si="5"/>
        <v>0</v>
      </c>
      <c r="G19" s="32">
        <f t="shared" si="6"/>
        <v>0</v>
      </c>
      <c r="H19" s="31">
        <f t="shared" si="7"/>
        <v>0</v>
      </c>
    </row>
    <row r="20" spans="1:8" s="2" customFormat="1">
      <c r="A20" s="2" t="str">
        <f>PARÁMETROS!A6</f>
        <v>ALCOHOL</v>
      </c>
      <c r="B20" s="8" t="str">
        <f>PARÁMETROS!B6</f>
        <v>LITRO</v>
      </c>
      <c r="C20" s="17">
        <f>PARÁMETROS!C6</f>
        <v>300</v>
      </c>
      <c r="D20" s="139"/>
      <c r="E20" s="137">
        <f t="shared" si="4"/>
        <v>0</v>
      </c>
      <c r="F20" s="10">
        <f t="shared" si="5"/>
        <v>0</v>
      </c>
      <c r="G20" s="32">
        <f t="shared" si="6"/>
        <v>0</v>
      </c>
      <c r="H20" s="31">
        <f t="shared" si="7"/>
        <v>0</v>
      </c>
    </row>
    <row r="21" spans="1:8" s="2" customFormat="1">
      <c r="A21" s="2" t="str">
        <f>PARÁMETROS!A9</f>
        <v>BOLSA DE BASURA</v>
      </c>
      <c r="B21" s="8" t="str">
        <f>PARÁMETROS!B9</f>
        <v>UNIDAD</v>
      </c>
      <c r="C21" s="17">
        <f>PARÁMETROS!C9</f>
        <v>49.84</v>
      </c>
      <c r="D21" s="139"/>
      <c r="E21" s="137">
        <f t="shared" si="4"/>
        <v>0</v>
      </c>
      <c r="F21" s="10">
        <f t="shared" si="5"/>
        <v>0</v>
      </c>
      <c r="G21" s="32">
        <f t="shared" si="6"/>
        <v>0</v>
      </c>
      <c r="H21" s="31">
        <f t="shared" si="7"/>
        <v>0</v>
      </c>
    </row>
    <row r="22" spans="1:8" s="2" customFormat="1">
      <c r="A22" s="2" t="str">
        <f>PARÁMETROS!A22</f>
        <v>ESPONJA DE LIMPIEZA</v>
      </c>
      <c r="B22" s="8" t="str">
        <f>PARÁMETROS!B22</f>
        <v>UNIDAD</v>
      </c>
      <c r="C22" s="17">
        <f>PARÁMETROS!C22</f>
        <v>0</v>
      </c>
      <c r="D22" s="139"/>
      <c r="E22" s="137">
        <f t="shared" si="4"/>
        <v>0</v>
      </c>
      <c r="F22" s="10">
        <f t="shared" si="5"/>
        <v>0</v>
      </c>
      <c r="G22" s="32">
        <f t="shared" si="6"/>
        <v>0</v>
      </c>
      <c r="H22" s="31">
        <f t="shared" si="7"/>
        <v>0</v>
      </c>
    </row>
    <row r="23" spans="1:8" s="2" customFormat="1">
      <c r="A23" s="2" t="str">
        <f>PARÁMETROS!A14</f>
        <v>COLETO</v>
      </c>
      <c r="B23" s="8" t="str">
        <f>PARÁMETROS!B14</f>
        <v>UNIDAD</v>
      </c>
      <c r="C23" s="17">
        <f>PARÁMETROS!C14</f>
        <v>0</v>
      </c>
      <c r="D23" s="139"/>
      <c r="E23" s="137">
        <f t="shared" si="4"/>
        <v>0</v>
      </c>
      <c r="F23" s="10">
        <f t="shared" si="5"/>
        <v>0</v>
      </c>
      <c r="G23" s="32">
        <f t="shared" si="6"/>
        <v>0</v>
      </c>
      <c r="H23" s="31">
        <f t="shared" si="7"/>
        <v>0</v>
      </c>
    </row>
    <row r="24" spans="1:8" s="2" customFormat="1">
      <c r="A24" s="2" t="str">
        <f>PARÁMETROS!A33</f>
        <v xml:space="preserve">FÓSFOROS </v>
      </c>
      <c r="B24" s="40" t="str">
        <f>PARÁMETROS!B33</f>
        <v>C.GRDE</v>
      </c>
      <c r="C24" s="17">
        <f>PARÁMETROS!C33</f>
        <v>1.63</v>
      </c>
      <c r="D24" s="142"/>
      <c r="E24" s="137">
        <f t="shared" si="4"/>
        <v>0</v>
      </c>
      <c r="F24" s="10">
        <f t="shared" si="5"/>
        <v>0</v>
      </c>
      <c r="G24" s="32">
        <f t="shared" si="6"/>
        <v>0</v>
      </c>
      <c r="H24" s="31">
        <f t="shared" si="7"/>
        <v>0</v>
      </c>
    </row>
    <row r="25" spans="1:8">
      <c r="A25" s="291" t="s">
        <v>38</v>
      </c>
      <c r="B25" s="292"/>
      <c r="C25" s="292"/>
      <c r="D25" s="292"/>
      <c r="E25" s="293"/>
      <c r="F25" s="80">
        <f>SUM(F6:F24)</f>
        <v>43598.302076923079</v>
      </c>
      <c r="G25" s="80">
        <f>SUM(G6:G24)</f>
        <v>332.81146623605406</v>
      </c>
      <c r="H25" s="81">
        <f t="shared" si="0"/>
        <v>0.88814143689117564</v>
      </c>
    </row>
    <row r="26" spans="1:8">
      <c r="A26" s="4" t="str">
        <f>PARÁMETROS!A67</f>
        <v>MANO DE OBRA</v>
      </c>
      <c r="B26" s="5" t="str">
        <f>PARÁMETROS!B67</f>
        <v xml:space="preserve">JORNAL </v>
      </c>
      <c r="C26" s="6">
        <f>PARÁMETROS!C67</f>
        <v>1830.3553997660001</v>
      </c>
      <c r="D26" s="28">
        <v>3</v>
      </c>
      <c r="E26" s="74">
        <f>D26/F3</f>
        <v>2.2900763358778626E-2</v>
      </c>
      <c r="F26" s="6">
        <f>D26*C26</f>
        <v>5491.0661992980004</v>
      </c>
      <c r="G26" s="6">
        <f>F26/F3</f>
        <v>41.916535872503822</v>
      </c>
      <c r="H26" s="49">
        <f t="shared" si="0"/>
        <v>0.11185856310882446</v>
      </c>
    </row>
    <row r="27" spans="1:8">
      <c r="A27" s="294" t="s">
        <v>39</v>
      </c>
      <c r="B27" s="294"/>
      <c r="C27" s="294"/>
      <c r="D27" s="294"/>
      <c r="E27" s="294"/>
      <c r="F27" s="80">
        <f>F25+F26</f>
        <v>49089.368276221081</v>
      </c>
      <c r="G27" s="80">
        <f>G25+G26</f>
        <v>374.72800210855786</v>
      </c>
      <c r="H27" s="81">
        <f t="shared" si="0"/>
        <v>1</v>
      </c>
    </row>
    <row r="29" spans="1:8">
      <c r="A29" s="5" t="s">
        <v>87</v>
      </c>
      <c r="B29" s="60"/>
    </row>
  </sheetData>
  <mergeCells count="13">
    <mergeCell ref="A25:E25"/>
    <mergeCell ref="A27:E27"/>
    <mergeCell ref="A1:A3"/>
    <mergeCell ref="B1:C1"/>
    <mergeCell ref="D1:G1"/>
    <mergeCell ref="D4:E4"/>
    <mergeCell ref="F4:G4"/>
    <mergeCell ref="A4:C4"/>
    <mergeCell ref="H1:H5"/>
    <mergeCell ref="B2:C2"/>
    <mergeCell ref="D2:G2"/>
    <mergeCell ref="B3:E3"/>
    <mergeCell ref="F3:G3"/>
  </mergeCells>
  <printOptions horizontalCentered="1" verticalCentered="1" gridLines="1"/>
  <pageMargins left="0.70866141732283472" right="0.70866141732283472" top="0.74803149606299213" bottom="0.74803149606299213" header="0.31496062992125984" footer="0.31496062992125984"/>
  <pageSetup scale="85" orientation="landscape" r:id="rId1"/>
  <headerFooter>
    <oddFooter>&amp;RDULCE DE LECHOSA  CON PIÑA DE 500GR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7"/>
  <sheetViews>
    <sheetView zoomScaleNormal="75" workbookViewId="0">
      <selection activeCell="A25" sqref="A25:E25"/>
    </sheetView>
  </sheetViews>
  <sheetFormatPr baseColWidth="10" defaultRowHeight="15"/>
  <cols>
    <col min="1" max="1" width="39.7109375" customWidth="1"/>
    <col min="2" max="2" width="11.42578125" style="3"/>
    <col min="5" max="5" width="12.5703125" customWidth="1"/>
    <col min="7" max="7" width="11.85546875" customWidth="1"/>
  </cols>
  <sheetData>
    <row r="1" spans="1:8">
      <c r="A1" s="300" t="s">
        <v>53</v>
      </c>
      <c r="B1" s="238" t="s">
        <v>41</v>
      </c>
      <c r="C1" s="239"/>
      <c r="D1" s="246">
        <v>42390</v>
      </c>
      <c r="E1" s="247"/>
      <c r="F1" s="247"/>
      <c r="G1" s="247"/>
      <c r="H1" s="236" t="s">
        <v>43</v>
      </c>
    </row>
    <row r="2" spans="1:8">
      <c r="A2" s="301"/>
      <c r="B2" s="238" t="s">
        <v>42</v>
      </c>
      <c r="C2" s="239"/>
      <c r="D2" s="249" t="s">
        <v>163</v>
      </c>
      <c r="E2" s="250"/>
      <c r="F2" s="250"/>
      <c r="G2" s="250"/>
      <c r="H2" s="237"/>
    </row>
    <row r="3" spans="1:8">
      <c r="A3" s="302"/>
      <c r="B3" s="243" t="s">
        <v>37</v>
      </c>
      <c r="C3" s="244"/>
      <c r="D3" s="244"/>
      <c r="E3" s="245"/>
      <c r="F3" s="252">
        <v>197</v>
      </c>
      <c r="G3" s="252"/>
      <c r="H3" s="237"/>
    </row>
    <row r="4" spans="1:8" s="2" customFormat="1">
      <c r="A4" s="282" t="s">
        <v>91</v>
      </c>
      <c r="B4" s="283"/>
      <c r="C4" s="284"/>
      <c r="D4" s="266" t="s">
        <v>85</v>
      </c>
      <c r="E4" s="255"/>
      <c r="F4" s="256" t="s">
        <v>86</v>
      </c>
      <c r="G4" s="257"/>
      <c r="H4" s="237"/>
    </row>
    <row r="5" spans="1:8">
      <c r="A5" s="100" t="str">
        <f>PARÁMETROS!A1</f>
        <v>MATERIA PRIMA E INSUMOS GAVCA</v>
      </c>
      <c r="B5" s="102" t="str">
        <f>PARÁMETROS!B1</f>
        <v>UNIDAD</v>
      </c>
      <c r="C5" s="101" t="str">
        <f>PARÁMETROS!C1</f>
        <v>COSTO</v>
      </c>
      <c r="D5" s="27" t="s">
        <v>35</v>
      </c>
      <c r="E5" s="27" t="s">
        <v>89</v>
      </c>
      <c r="F5" s="27" t="s">
        <v>35</v>
      </c>
      <c r="G5" s="26" t="s">
        <v>89</v>
      </c>
      <c r="H5" s="278"/>
    </row>
    <row r="6" spans="1:8">
      <c r="A6" s="2" t="str">
        <f>PARÁMETROS!A19</f>
        <v>DURAZNO</v>
      </c>
      <c r="B6" s="39" t="str">
        <f>PARÁMETROS!B19</f>
        <v>KILO</v>
      </c>
      <c r="C6" s="114">
        <f>PARÁMETROS!C19</f>
        <v>310.33999999999997</v>
      </c>
      <c r="D6" s="61">
        <v>116</v>
      </c>
      <c r="E6" s="72">
        <f>D6/F$3</f>
        <v>0.58883248730964466</v>
      </c>
      <c r="F6" s="9">
        <f>D6*C6</f>
        <v>35999.439999999995</v>
      </c>
      <c r="G6" s="32">
        <f>F6/F$3</f>
        <v>182.73827411167511</v>
      </c>
      <c r="H6" s="30">
        <f t="shared" ref="H6:H25" si="0">G6/G$25</f>
        <v>0.52900746942407473</v>
      </c>
    </row>
    <row r="7" spans="1:8">
      <c r="A7" s="2" t="str">
        <f>PARÁMETROS!A8</f>
        <v>AZÚCAR</v>
      </c>
      <c r="B7" s="8" t="str">
        <f>PARÁMETROS!B8</f>
        <v>KILO</v>
      </c>
      <c r="C7" s="88">
        <f>PARÁMETROS!C8</f>
        <v>300</v>
      </c>
      <c r="D7" s="61">
        <v>29</v>
      </c>
      <c r="E7" s="72">
        <f t="shared" ref="E7:E15" si="1">D7/F$3</f>
        <v>0.14720812182741116</v>
      </c>
      <c r="F7" s="10">
        <f t="shared" ref="F7:F15" si="2">D7*C7</f>
        <v>8700</v>
      </c>
      <c r="G7" s="32">
        <f t="shared" ref="G7:G15" si="3">F7/F$3</f>
        <v>44.162436548223347</v>
      </c>
      <c r="H7" s="31">
        <f t="shared" si="0"/>
        <v>0.12784546048464782</v>
      </c>
    </row>
    <row r="8" spans="1:8">
      <c r="A8" s="2" t="str">
        <f>PARÁMETROS!A64</f>
        <v>VINAGRE</v>
      </c>
      <c r="B8" s="8" t="str">
        <f>PARÁMETROS!B64</f>
        <v>LITRO</v>
      </c>
      <c r="C8" s="88">
        <f>PARÁMETROS!C64</f>
        <v>255.06</v>
      </c>
      <c r="D8" s="61">
        <v>1</v>
      </c>
      <c r="E8" s="72">
        <f t="shared" si="1"/>
        <v>5.076142131979695E-3</v>
      </c>
      <c r="F8" s="10">
        <f t="shared" si="2"/>
        <v>255.06</v>
      </c>
      <c r="G8" s="32">
        <f t="shared" si="3"/>
        <v>1.2947208121827412</v>
      </c>
      <c r="H8" s="31">
        <f t="shared" si="0"/>
        <v>3.7480762242775027E-3</v>
      </c>
    </row>
    <row r="9" spans="1:8">
      <c r="A9" s="2" t="str">
        <f>PARÁMETROS!A36</f>
        <v>FRASCO  500GR</v>
      </c>
      <c r="B9" s="8" t="str">
        <f>PARÁMETROS!B36</f>
        <v>UNIDAD</v>
      </c>
      <c r="C9" s="88">
        <f>PARÁMETROS!C36</f>
        <v>57.41</v>
      </c>
      <c r="D9" s="169">
        <f>F$3</f>
        <v>197</v>
      </c>
      <c r="E9" s="72">
        <f t="shared" si="1"/>
        <v>1</v>
      </c>
      <c r="F9" s="10">
        <f t="shared" si="2"/>
        <v>11309.769999999999</v>
      </c>
      <c r="G9" s="32">
        <f t="shared" si="3"/>
        <v>57.409999999999989</v>
      </c>
      <c r="H9" s="31">
        <f t="shared" si="0"/>
        <v>0.16619571880752357</v>
      </c>
    </row>
    <row r="10" spans="1:8">
      <c r="A10" s="2" t="str">
        <f>PARÁMETROS!A25</f>
        <v>ETIQUETA FRASCO DE 500GR</v>
      </c>
      <c r="B10" s="8" t="str">
        <f>PARÁMETROS!B25</f>
        <v>UNIDAD</v>
      </c>
      <c r="C10" s="88">
        <f>PARÁMETROS!C25</f>
        <v>29.25</v>
      </c>
      <c r="D10" s="169">
        <f>F$3</f>
        <v>197</v>
      </c>
      <c r="E10" s="72">
        <f t="shared" si="1"/>
        <v>1</v>
      </c>
      <c r="F10" s="10">
        <f t="shared" si="2"/>
        <v>5762.25</v>
      </c>
      <c r="G10" s="32">
        <f t="shared" si="3"/>
        <v>29.25</v>
      </c>
      <c r="H10" s="31">
        <f t="shared" si="0"/>
        <v>8.4675575250305973E-2</v>
      </c>
    </row>
    <row r="11" spans="1:8">
      <c r="A11" s="2" t="str">
        <f>PARÁMETROS!A30</f>
        <v>PRESINTO TAPA DE 500GR</v>
      </c>
      <c r="B11" s="8" t="str">
        <f>PARÁMETROS!B30</f>
        <v>UNIDAD</v>
      </c>
      <c r="C11" s="88">
        <f>PARÁMETROS!C30</f>
        <v>0.5</v>
      </c>
      <c r="D11" s="169">
        <f>F$3</f>
        <v>197</v>
      </c>
      <c r="E11" s="72">
        <f t="shared" si="1"/>
        <v>1</v>
      </c>
      <c r="F11" s="10">
        <f t="shared" si="2"/>
        <v>98.5</v>
      </c>
      <c r="G11" s="32">
        <f t="shared" si="3"/>
        <v>0.5</v>
      </c>
      <c r="H11" s="31">
        <f t="shared" si="0"/>
        <v>1.447445730774461E-3</v>
      </c>
    </row>
    <row r="12" spans="1:8">
      <c r="A12" s="2" t="str">
        <f>PARÁMETROS!A41</f>
        <v>GAS (COSTO 1% DE CONSUMO)</v>
      </c>
      <c r="B12" s="8" t="str">
        <f>PARÁMETROS!B41</f>
        <v>1%</v>
      </c>
      <c r="C12" s="88">
        <f>PARÁMETROS!C41</f>
        <v>92.307692307692307</v>
      </c>
      <c r="D12" s="61">
        <v>2</v>
      </c>
      <c r="E12" s="72">
        <f t="shared" si="1"/>
        <v>1.015228426395939E-2</v>
      </c>
      <c r="F12" s="10">
        <f t="shared" si="2"/>
        <v>184.61538461538461</v>
      </c>
      <c r="G12" s="32">
        <f t="shared" si="3"/>
        <v>0.93713393205778994</v>
      </c>
      <c r="H12" s="31">
        <f t="shared" si="0"/>
        <v>2.7129010182418635E-3</v>
      </c>
    </row>
    <row r="13" spans="1:8">
      <c r="A13" s="2" t="str">
        <f>PARÁMETROS!A20</f>
        <v>ELECTRICIDAD</v>
      </c>
      <c r="B13" s="8" t="str">
        <f>PARÁMETROS!B20</f>
        <v>KWH</v>
      </c>
      <c r="C13" s="88">
        <f>PARÁMETROS!C20</f>
        <v>0</v>
      </c>
      <c r="D13" s="61"/>
      <c r="E13" s="72">
        <f t="shared" si="1"/>
        <v>0</v>
      </c>
      <c r="F13" s="10">
        <f t="shared" si="2"/>
        <v>0</v>
      </c>
      <c r="G13" s="32">
        <f t="shared" si="3"/>
        <v>0</v>
      </c>
      <c r="H13" s="31">
        <f t="shared" si="0"/>
        <v>0</v>
      </c>
    </row>
    <row r="14" spans="1:8">
      <c r="A14" s="2" t="str">
        <f>PARÁMETROS!A4</f>
        <v>AGUA</v>
      </c>
      <c r="B14" s="8" t="str">
        <f>PARÁMETROS!B4</f>
        <v>UNITARIO E</v>
      </c>
      <c r="C14" s="88">
        <f>PARÁMETROS!C4</f>
        <v>0</v>
      </c>
      <c r="D14" s="61"/>
      <c r="E14" s="72">
        <f t="shared" si="1"/>
        <v>0</v>
      </c>
      <c r="F14" s="10">
        <f t="shared" si="2"/>
        <v>0</v>
      </c>
      <c r="G14" s="32">
        <f t="shared" si="3"/>
        <v>0</v>
      </c>
      <c r="H14" s="31">
        <f t="shared" si="0"/>
        <v>0</v>
      </c>
    </row>
    <row r="15" spans="1:8" s="2" customFormat="1">
      <c r="A15" s="2" t="str">
        <f>PARÁMETROS!A43</f>
        <v>GUANTES DE LATEX RE-USABLES</v>
      </c>
      <c r="B15" s="8" t="str">
        <f>PARÁMETROS!B43</f>
        <v>PAR</v>
      </c>
      <c r="C15" s="14">
        <f>PARÁMETROS!C43</f>
        <v>335.63</v>
      </c>
      <c r="D15" s="61">
        <f>3/10</f>
        <v>0.3</v>
      </c>
      <c r="E15" s="72">
        <f t="shared" si="1"/>
        <v>1.5228426395939086E-3</v>
      </c>
      <c r="F15" s="10">
        <f t="shared" si="2"/>
        <v>100.68899999999999</v>
      </c>
      <c r="G15" s="32">
        <f t="shared" si="3"/>
        <v>0.51111167512690348</v>
      </c>
      <c r="H15" s="31">
        <f t="shared" si="0"/>
        <v>1.4796128242228394E-3</v>
      </c>
    </row>
    <row r="16" spans="1:8" s="2" customFormat="1">
      <c r="A16" s="2" t="str">
        <f>PARÁMETROS!A17</f>
        <v>DETERGENTE PARA PISOS</v>
      </c>
      <c r="B16" s="8" t="str">
        <f>PARÁMETROS!B17</f>
        <v>LITRO</v>
      </c>
      <c r="C16" s="88">
        <f>PARÁMETROS!C17</f>
        <v>12.92</v>
      </c>
      <c r="D16" s="61"/>
      <c r="E16" s="72">
        <f t="shared" ref="E16:E22" si="4">D16/F$3</f>
        <v>0</v>
      </c>
      <c r="F16" s="10">
        <f t="shared" ref="F16:F22" si="5">D16*C16</f>
        <v>0</v>
      </c>
      <c r="G16" s="32">
        <f t="shared" ref="G16:G22" si="6">F16/F$3</f>
        <v>0</v>
      </c>
      <c r="H16" s="31">
        <f t="shared" ref="H16:H22" si="7">G16/G$25</f>
        <v>0</v>
      </c>
    </row>
    <row r="17" spans="1:8" s="2" customFormat="1">
      <c r="A17" s="2" t="str">
        <f>PARÁMETROS!A18</f>
        <v>DETERGENTE PARA VAJILLAS</v>
      </c>
      <c r="B17" s="8" t="str">
        <f>PARÁMETROS!B18</f>
        <v>LITRO</v>
      </c>
      <c r="C17" s="88">
        <f>PARÁMETROS!C18</f>
        <v>32.06</v>
      </c>
      <c r="D17" s="61"/>
      <c r="E17" s="72">
        <f t="shared" si="4"/>
        <v>0</v>
      </c>
      <c r="F17" s="10">
        <f t="shared" si="5"/>
        <v>0</v>
      </c>
      <c r="G17" s="32">
        <f t="shared" si="6"/>
        <v>0</v>
      </c>
      <c r="H17" s="31">
        <f t="shared" si="7"/>
        <v>0</v>
      </c>
    </row>
    <row r="18" spans="1:8" s="2" customFormat="1">
      <c r="A18" s="2" t="str">
        <f>PARÁMETROS!A6</f>
        <v>ALCOHOL</v>
      </c>
      <c r="B18" s="8" t="str">
        <f>PARÁMETROS!B6</f>
        <v>LITRO</v>
      </c>
      <c r="C18" s="88">
        <f>PARÁMETROS!C6</f>
        <v>300</v>
      </c>
      <c r="D18" s="61"/>
      <c r="E18" s="72">
        <f t="shared" si="4"/>
        <v>0</v>
      </c>
      <c r="F18" s="10">
        <f t="shared" si="5"/>
        <v>0</v>
      </c>
      <c r="G18" s="32">
        <f t="shared" si="6"/>
        <v>0</v>
      </c>
      <c r="H18" s="31">
        <f t="shared" si="7"/>
        <v>0</v>
      </c>
    </row>
    <row r="19" spans="1:8" s="2" customFormat="1">
      <c r="A19" s="2" t="str">
        <f>PARÁMETROS!A22</f>
        <v>ESPONJA DE LIMPIEZA</v>
      </c>
      <c r="B19" s="8" t="str">
        <f>PARÁMETROS!B22</f>
        <v>UNIDAD</v>
      </c>
      <c r="C19" s="88">
        <f>PARÁMETROS!C22</f>
        <v>0</v>
      </c>
      <c r="D19" s="61"/>
      <c r="E19" s="72">
        <f t="shared" si="4"/>
        <v>0</v>
      </c>
      <c r="F19" s="10">
        <f t="shared" si="5"/>
        <v>0</v>
      </c>
      <c r="G19" s="32">
        <f t="shared" si="6"/>
        <v>0</v>
      </c>
      <c r="H19" s="31">
        <f t="shared" si="7"/>
        <v>0</v>
      </c>
    </row>
    <row r="20" spans="1:8" s="2" customFormat="1">
      <c r="A20" s="2" t="str">
        <f>PARÁMETROS!A9</f>
        <v>BOLSA DE BASURA</v>
      </c>
      <c r="B20" s="8" t="str">
        <f>PARÁMETROS!B9</f>
        <v>UNIDAD</v>
      </c>
      <c r="C20" s="88">
        <f>PARÁMETROS!C9</f>
        <v>49.84</v>
      </c>
      <c r="D20" s="61">
        <v>3</v>
      </c>
      <c r="E20" s="72">
        <f t="shared" si="4"/>
        <v>1.5228426395939087E-2</v>
      </c>
      <c r="F20" s="10">
        <f t="shared" si="5"/>
        <v>149.52000000000001</v>
      </c>
      <c r="G20" s="32">
        <f t="shared" si="6"/>
        <v>0.75898477157360411</v>
      </c>
      <c r="H20" s="31">
        <f t="shared" si="7"/>
        <v>2.1971785346740855E-3</v>
      </c>
    </row>
    <row r="21" spans="1:8" s="2" customFormat="1">
      <c r="A21" s="2" t="str">
        <f>PARÁMETROS!A14</f>
        <v>COLETO</v>
      </c>
      <c r="B21" s="8" t="str">
        <f>PARÁMETROS!B14</f>
        <v>UNIDAD</v>
      </c>
      <c r="C21" s="88">
        <f>PARÁMETROS!C14</f>
        <v>0</v>
      </c>
      <c r="D21" s="61"/>
      <c r="E21" s="72">
        <f t="shared" si="4"/>
        <v>0</v>
      </c>
      <c r="F21" s="10">
        <f t="shared" si="5"/>
        <v>0</v>
      </c>
      <c r="G21" s="32">
        <f t="shared" si="6"/>
        <v>0</v>
      </c>
      <c r="H21" s="31">
        <f t="shared" si="7"/>
        <v>0</v>
      </c>
    </row>
    <row r="22" spans="1:8" s="2" customFormat="1">
      <c r="A22" s="2" t="str">
        <f>PARÁMETROS!A33</f>
        <v xml:space="preserve">FÓSFOROS </v>
      </c>
      <c r="B22" s="40" t="str">
        <f>PARÁMETROS!B33</f>
        <v>C.GRDE</v>
      </c>
      <c r="C22" s="143">
        <f>PARÁMETROS!C33</f>
        <v>1.63</v>
      </c>
      <c r="D22" s="61"/>
      <c r="E22" s="72">
        <f t="shared" si="4"/>
        <v>0</v>
      </c>
      <c r="F22" s="10">
        <f t="shared" si="5"/>
        <v>0</v>
      </c>
      <c r="G22" s="32">
        <f t="shared" si="6"/>
        <v>0</v>
      </c>
      <c r="H22" s="31">
        <f t="shared" si="7"/>
        <v>0</v>
      </c>
    </row>
    <row r="23" spans="1:8">
      <c r="A23" s="295" t="s">
        <v>38</v>
      </c>
      <c r="B23" s="296"/>
      <c r="C23" s="297"/>
      <c r="D23" s="297"/>
      <c r="E23" s="298"/>
      <c r="F23" s="51">
        <f>SUM(F6:F22)</f>
        <v>62559.844384615368</v>
      </c>
      <c r="G23" s="51">
        <f>SUM(G6:G22)</f>
        <v>317.5626618508395</v>
      </c>
      <c r="H23" s="52">
        <f t="shared" si="0"/>
        <v>0.9193094382987429</v>
      </c>
    </row>
    <row r="24" spans="1:8">
      <c r="A24" s="4" t="str">
        <f>PARÁMETROS!A67</f>
        <v>MANO DE OBRA</v>
      </c>
      <c r="B24" s="5" t="str">
        <f>PARÁMETROS!B67</f>
        <v xml:space="preserve">JORNAL </v>
      </c>
      <c r="C24" s="6">
        <f>PARÁMETROS!C67</f>
        <v>1830.3553997660001</v>
      </c>
      <c r="D24" s="28">
        <v>3</v>
      </c>
      <c r="E24" s="74">
        <f>D24/F3</f>
        <v>1.5228426395939087E-2</v>
      </c>
      <c r="F24" s="6">
        <f>D24*C24</f>
        <v>5491.0661992980004</v>
      </c>
      <c r="G24" s="6">
        <f>F24/F3</f>
        <v>27.873432483746196</v>
      </c>
      <c r="H24" s="49">
        <f t="shared" si="0"/>
        <v>8.0690561701257227E-2</v>
      </c>
    </row>
    <row r="25" spans="1:8">
      <c r="A25" s="299" t="s">
        <v>39</v>
      </c>
      <c r="B25" s="299"/>
      <c r="C25" s="299"/>
      <c r="D25" s="299"/>
      <c r="E25" s="299"/>
      <c r="F25" s="51">
        <f>F23+F24</f>
        <v>68050.91058391337</v>
      </c>
      <c r="G25" s="51">
        <f>G23+G24</f>
        <v>345.43609433458568</v>
      </c>
      <c r="H25" s="52">
        <f t="shared" si="0"/>
        <v>1</v>
      </c>
    </row>
    <row r="27" spans="1:8">
      <c r="A27" s="5" t="s">
        <v>87</v>
      </c>
      <c r="B27" s="211"/>
    </row>
  </sheetData>
  <mergeCells count="13">
    <mergeCell ref="A23:E23"/>
    <mergeCell ref="A25:E25"/>
    <mergeCell ref="A1:A3"/>
    <mergeCell ref="B1:C1"/>
    <mergeCell ref="D1:G1"/>
    <mergeCell ref="D4:E4"/>
    <mergeCell ref="F4:G4"/>
    <mergeCell ref="A4:C4"/>
    <mergeCell ref="H1:H5"/>
    <mergeCell ref="B2:C2"/>
    <mergeCell ref="D2:G2"/>
    <mergeCell ref="B3:E3"/>
    <mergeCell ref="F3:G3"/>
  </mergeCells>
  <printOptions horizontalCentered="1" verticalCentered="1" gridLines="1"/>
  <pageMargins left="0.70866141732283472" right="0.70866141732283472" top="0.74803149606299213" bottom="0.74803149606299213" header="0.31496062992125984" footer="0.31496062992125984"/>
  <pageSetup scale="85" orientation="landscape" r:id="rId1"/>
  <headerFooter>
    <oddFooter>&amp;RDURAZNOS EN ALMIBAR DE 500GR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zoomScaleNormal="75" workbookViewId="0">
      <selection activeCell="D1" sqref="D1:G1"/>
    </sheetView>
  </sheetViews>
  <sheetFormatPr baseColWidth="10" defaultRowHeight="15"/>
  <cols>
    <col min="1" max="1" width="44.140625" customWidth="1"/>
  </cols>
  <sheetData>
    <row r="1" spans="1:8">
      <c r="A1" s="308" t="s">
        <v>54</v>
      </c>
      <c r="B1" s="238" t="s">
        <v>41</v>
      </c>
      <c r="C1" s="239"/>
      <c r="D1" s="246">
        <v>42465</v>
      </c>
      <c r="E1" s="247"/>
      <c r="F1" s="247"/>
      <c r="G1" s="247"/>
      <c r="H1" s="236" t="s">
        <v>43</v>
      </c>
    </row>
    <row r="2" spans="1:8">
      <c r="A2" s="309"/>
      <c r="B2" s="238" t="s">
        <v>42</v>
      </c>
      <c r="C2" s="239"/>
      <c r="D2" s="249" t="s">
        <v>166</v>
      </c>
      <c r="E2" s="250"/>
      <c r="F2" s="250"/>
      <c r="G2" s="250"/>
      <c r="H2" s="237"/>
    </row>
    <row r="3" spans="1:8">
      <c r="A3" s="310"/>
      <c r="B3" s="243" t="s">
        <v>37</v>
      </c>
      <c r="C3" s="244"/>
      <c r="D3" s="244"/>
      <c r="E3" s="245"/>
      <c r="F3" s="252">
        <v>94</v>
      </c>
      <c r="G3" s="252"/>
      <c r="H3" s="237"/>
    </row>
    <row r="4" spans="1:8" s="2" customFormat="1">
      <c r="A4" s="282" t="s">
        <v>91</v>
      </c>
      <c r="B4" s="283"/>
      <c r="C4" s="283"/>
      <c r="D4" s="266" t="s">
        <v>85</v>
      </c>
      <c r="E4" s="255"/>
      <c r="F4" s="256" t="s">
        <v>86</v>
      </c>
      <c r="G4" s="257"/>
      <c r="H4" s="237"/>
    </row>
    <row r="5" spans="1:8">
      <c r="A5" s="103" t="str">
        <f>PARÁMETROS!A1</f>
        <v>MATERIA PRIMA E INSUMOS GAVCA</v>
      </c>
      <c r="B5" s="105" t="str">
        <f>PARÁMETROS!B1</f>
        <v>UNIDAD</v>
      </c>
      <c r="C5" s="104" t="str">
        <f>PARÁMETROS!C1</f>
        <v>COSTO</v>
      </c>
      <c r="D5" s="27" t="s">
        <v>35</v>
      </c>
      <c r="E5" s="27" t="s">
        <v>89</v>
      </c>
      <c r="F5" s="27" t="s">
        <v>35</v>
      </c>
      <c r="G5" s="26" t="s">
        <v>89</v>
      </c>
      <c r="H5" s="278"/>
    </row>
    <row r="6" spans="1:8">
      <c r="A6" s="2" t="str">
        <f>PARÁMETROS!A44</f>
        <v>GUAYABA</v>
      </c>
      <c r="B6" s="39" t="str">
        <f>PARÁMETROS!B44</f>
        <v>KILO</v>
      </c>
      <c r="C6" s="32">
        <f>PARÁMETROS!C44</f>
        <v>236.28</v>
      </c>
      <c r="D6" s="61">
        <v>80</v>
      </c>
      <c r="E6" s="72">
        <f>D6/F$3</f>
        <v>0.85106382978723405</v>
      </c>
      <c r="F6" s="9">
        <f t="shared" ref="F6:F16" si="0">D6*C6</f>
        <v>18902.400000000001</v>
      </c>
      <c r="G6" s="32">
        <f>F6/F$3</f>
        <v>201.08936170212766</v>
      </c>
      <c r="H6" s="30">
        <f t="shared" ref="H6:H26" si="1">G6/G$26</f>
        <v>0.50323027637165019</v>
      </c>
    </row>
    <row r="7" spans="1:8">
      <c r="A7" s="2" t="str">
        <f>PARÁMETROS!A8</f>
        <v>AZÚCAR</v>
      </c>
      <c r="B7" s="8" t="str">
        <f>PARÁMETROS!B8</f>
        <v>KILO</v>
      </c>
      <c r="C7" s="32">
        <f>PARÁMETROS!C8</f>
        <v>300</v>
      </c>
      <c r="D7" s="61">
        <v>15</v>
      </c>
      <c r="E7" s="72">
        <f t="shared" ref="E7:E16" si="2">D7/F$3</f>
        <v>0.15957446808510639</v>
      </c>
      <c r="F7" s="10">
        <f t="shared" si="0"/>
        <v>4500</v>
      </c>
      <c r="G7" s="32">
        <f t="shared" ref="G7:G16" si="3">F7/F$3</f>
        <v>47.872340425531917</v>
      </c>
      <c r="H7" s="31">
        <f t="shared" si="1"/>
        <v>0.11980151957806554</v>
      </c>
    </row>
    <row r="8" spans="1:8">
      <c r="A8" s="2" t="str">
        <f>PARÁMETROS!A64</f>
        <v>VINAGRE</v>
      </c>
      <c r="B8" s="8" t="str">
        <f>PARÁMETROS!B64</f>
        <v>LITRO</v>
      </c>
      <c r="C8" s="32">
        <f>PARÁMETROS!C64</f>
        <v>255.06</v>
      </c>
      <c r="D8" s="61">
        <v>0.25</v>
      </c>
      <c r="E8" s="72">
        <f t="shared" si="2"/>
        <v>2.6595744680851063E-3</v>
      </c>
      <c r="F8" s="10">
        <f t="shared" si="0"/>
        <v>63.765000000000001</v>
      </c>
      <c r="G8" s="32">
        <f t="shared" si="3"/>
        <v>0.67835106382978727</v>
      </c>
      <c r="H8" s="31">
        <f t="shared" si="1"/>
        <v>1.6975875324211887E-3</v>
      </c>
    </row>
    <row r="9" spans="1:8">
      <c r="A9" s="2" t="str">
        <f>PARÁMETROS!A16</f>
        <v>COLORANTE ROJO</v>
      </c>
      <c r="B9" s="8" t="str">
        <f>PARÁMETROS!B16</f>
        <v>GRAMO</v>
      </c>
      <c r="C9" s="32">
        <f>PARÁMETROS!C16</f>
        <v>0.78</v>
      </c>
      <c r="D9" s="61">
        <v>25</v>
      </c>
      <c r="E9" s="72">
        <f t="shared" si="2"/>
        <v>0.26595744680851063</v>
      </c>
      <c r="F9" s="10">
        <f t="shared" si="0"/>
        <v>19.5</v>
      </c>
      <c r="G9" s="32">
        <f t="shared" si="3"/>
        <v>0.20744680851063829</v>
      </c>
      <c r="H9" s="31">
        <f t="shared" si="1"/>
        <v>5.1913991817161725E-4</v>
      </c>
    </row>
    <row r="10" spans="1:8">
      <c r="A10" s="2" t="str">
        <f>PARÁMETROS!A36</f>
        <v>FRASCO  500GR</v>
      </c>
      <c r="B10" s="8" t="str">
        <f>PARÁMETROS!B36</f>
        <v>UNIDAD</v>
      </c>
      <c r="C10" s="32">
        <f>PARÁMETROS!C36</f>
        <v>57.41</v>
      </c>
      <c r="D10" s="169">
        <f>F3</f>
        <v>94</v>
      </c>
      <c r="E10" s="72">
        <f t="shared" si="2"/>
        <v>1</v>
      </c>
      <c r="F10" s="10">
        <f t="shared" si="0"/>
        <v>5396.54</v>
      </c>
      <c r="G10" s="32">
        <f t="shared" si="3"/>
        <v>57.41</v>
      </c>
      <c r="H10" s="31">
        <f t="shared" si="1"/>
        <v>0.14366970943640306</v>
      </c>
    </row>
    <row r="11" spans="1:8">
      <c r="A11" s="2" t="str">
        <f>PARÁMETROS!A25</f>
        <v>ETIQUETA FRASCO DE 500GR</v>
      </c>
      <c r="B11" s="8" t="str">
        <f>PARÁMETROS!B25</f>
        <v>UNIDAD</v>
      </c>
      <c r="C11" s="32">
        <f>PARÁMETROS!C25</f>
        <v>29.25</v>
      </c>
      <c r="D11" s="169">
        <f>F3</f>
        <v>94</v>
      </c>
      <c r="E11" s="72">
        <f t="shared" si="2"/>
        <v>1</v>
      </c>
      <c r="F11" s="10">
        <f t="shared" si="0"/>
        <v>2749.5</v>
      </c>
      <c r="G11" s="32">
        <f t="shared" si="3"/>
        <v>29.25</v>
      </c>
      <c r="H11" s="31">
        <f t="shared" si="1"/>
        <v>7.3198728462198034E-2</v>
      </c>
    </row>
    <row r="12" spans="1:8">
      <c r="A12" s="2" t="str">
        <f>PARÁMETROS!A30</f>
        <v>PRESINTO TAPA DE 500GR</v>
      </c>
      <c r="B12" s="8" t="str">
        <f>PARÁMETROS!B30</f>
        <v>UNIDAD</v>
      </c>
      <c r="C12" s="32">
        <f>PARÁMETROS!C30</f>
        <v>0.5</v>
      </c>
      <c r="D12" s="169">
        <f>F3</f>
        <v>94</v>
      </c>
      <c r="E12" s="72">
        <f t="shared" si="2"/>
        <v>1</v>
      </c>
      <c r="F12" s="10">
        <f t="shared" si="0"/>
        <v>47</v>
      </c>
      <c r="G12" s="32">
        <f t="shared" si="3"/>
        <v>0.5</v>
      </c>
      <c r="H12" s="31">
        <f t="shared" si="1"/>
        <v>1.2512603155931288E-3</v>
      </c>
    </row>
    <row r="13" spans="1:8">
      <c r="A13" s="2" t="str">
        <f>PARÁMETROS!A41</f>
        <v>GAS (COSTO 1% DE CONSUMO)</v>
      </c>
      <c r="B13" s="8" t="str">
        <f>PARÁMETROS!B41</f>
        <v>1%</v>
      </c>
      <c r="C13" s="32">
        <f>PARÁMETROS!C41</f>
        <v>92.307692307692307</v>
      </c>
      <c r="D13" s="61">
        <v>1</v>
      </c>
      <c r="E13" s="72">
        <f t="shared" si="2"/>
        <v>1.0638297872340425E-2</v>
      </c>
      <c r="F13" s="10">
        <f t="shared" si="0"/>
        <v>92.307692307692307</v>
      </c>
      <c r="G13" s="32">
        <f t="shared" si="3"/>
        <v>0.98199672667757776</v>
      </c>
      <c r="H13" s="31">
        <f t="shared" si="1"/>
        <v>2.4574670682680111E-3</v>
      </c>
    </row>
    <row r="14" spans="1:8">
      <c r="A14" s="2" t="str">
        <f>PARÁMETROS!A20</f>
        <v>ELECTRICIDAD</v>
      </c>
      <c r="B14" s="8" t="str">
        <f>PARÁMETROS!B20</f>
        <v>KWH</v>
      </c>
      <c r="C14" s="32">
        <f>PARÁMETROS!C20</f>
        <v>0</v>
      </c>
      <c r="D14" s="61"/>
      <c r="E14" s="72">
        <f t="shared" si="2"/>
        <v>0</v>
      </c>
      <c r="F14" s="10">
        <f t="shared" si="0"/>
        <v>0</v>
      </c>
      <c r="G14" s="32">
        <f t="shared" si="3"/>
        <v>0</v>
      </c>
      <c r="H14" s="31">
        <f t="shared" si="1"/>
        <v>0</v>
      </c>
    </row>
    <row r="15" spans="1:8">
      <c r="A15" s="2" t="str">
        <f>PARÁMETROS!A4</f>
        <v>AGUA</v>
      </c>
      <c r="B15" s="8" t="str">
        <f>PARÁMETROS!B4</f>
        <v>UNITARIO E</v>
      </c>
      <c r="C15" s="32">
        <f>PARÁMETROS!C4</f>
        <v>0</v>
      </c>
      <c r="D15" s="61"/>
      <c r="E15" s="72">
        <f t="shared" si="2"/>
        <v>0</v>
      </c>
      <c r="F15" s="10">
        <f t="shared" si="0"/>
        <v>0</v>
      </c>
      <c r="G15" s="32">
        <f t="shared" si="3"/>
        <v>0</v>
      </c>
      <c r="H15" s="31">
        <f t="shared" si="1"/>
        <v>0</v>
      </c>
    </row>
    <row r="16" spans="1:8" s="2" customFormat="1">
      <c r="A16" s="2" t="str">
        <f>PARÁMETROS!A43</f>
        <v>GUANTES DE LATEX RE-USABLES</v>
      </c>
      <c r="B16" s="8" t="str">
        <f>PARÁMETROS!B43</f>
        <v>PAR</v>
      </c>
      <c r="C16" s="2">
        <f>PARÁMETROS!C43</f>
        <v>335.63</v>
      </c>
      <c r="D16" s="61">
        <f>3/10</f>
        <v>0.3</v>
      </c>
      <c r="E16" s="72">
        <f t="shared" si="2"/>
        <v>3.1914893617021275E-3</v>
      </c>
      <c r="F16" s="10">
        <f t="shared" si="0"/>
        <v>100.68899999999999</v>
      </c>
      <c r="G16" s="32">
        <f t="shared" si="3"/>
        <v>1.0711595744680851</v>
      </c>
      <c r="H16" s="31">
        <f t="shared" si="1"/>
        <v>2.6805989343990757E-3</v>
      </c>
    </row>
    <row r="17" spans="1:8" s="2" customFormat="1">
      <c r="A17" s="2" t="str">
        <f>PARÁMETROS!A17</f>
        <v>DETERGENTE PARA PISOS</v>
      </c>
      <c r="B17" s="8" t="str">
        <f>PARÁMETROS!B17</f>
        <v>LITRO</v>
      </c>
      <c r="C17" s="32">
        <f>PARÁMETROS!C17</f>
        <v>12.92</v>
      </c>
      <c r="D17" s="61"/>
      <c r="E17" s="72">
        <f t="shared" ref="E17:E23" si="4">D17/F$3</f>
        <v>0</v>
      </c>
      <c r="F17" s="10">
        <f t="shared" ref="F17:F23" si="5">D17*C17</f>
        <v>0</v>
      </c>
      <c r="G17" s="32">
        <f t="shared" ref="G17:G23" si="6">F17/F$3</f>
        <v>0</v>
      </c>
      <c r="H17" s="31">
        <f t="shared" ref="H17:H23" si="7">G17/G$26</f>
        <v>0</v>
      </c>
    </row>
    <row r="18" spans="1:8" s="2" customFormat="1">
      <c r="A18" s="2" t="str">
        <f>PARÁMETROS!A18</f>
        <v>DETERGENTE PARA VAJILLAS</v>
      </c>
      <c r="B18" s="8" t="str">
        <f>PARÁMETROS!B18</f>
        <v>LITRO</v>
      </c>
      <c r="C18" s="32">
        <f>PARÁMETROS!C18</f>
        <v>32.06</v>
      </c>
      <c r="D18" s="61"/>
      <c r="E18" s="72">
        <f t="shared" si="4"/>
        <v>0</v>
      </c>
      <c r="F18" s="10">
        <f t="shared" si="5"/>
        <v>0</v>
      </c>
      <c r="G18" s="32">
        <f t="shared" si="6"/>
        <v>0</v>
      </c>
      <c r="H18" s="31">
        <f t="shared" si="7"/>
        <v>0</v>
      </c>
    </row>
    <row r="19" spans="1:8" s="2" customFormat="1">
      <c r="A19" s="2" t="str">
        <f>PARÁMETROS!A6</f>
        <v>ALCOHOL</v>
      </c>
      <c r="B19" s="8" t="str">
        <f>PARÁMETROS!B6</f>
        <v>LITRO</v>
      </c>
      <c r="C19" s="32">
        <f>PARÁMETROS!C6</f>
        <v>300</v>
      </c>
      <c r="D19" s="61"/>
      <c r="E19" s="72">
        <f t="shared" si="4"/>
        <v>0</v>
      </c>
      <c r="F19" s="10">
        <f t="shared" si="5"/>
        <v>0</v>
      </c>
      <c r="G19" s="32">
        <f t="shared" si="6"/>
        <v>0</v>
      </c>
      <c r="H19" s="31">
        <f t="shared" si="7"/>
        <v>0</v>
      </c>
    </row>
    <row r="20" spans="1:8" s="2" customFormat="1">
      <c r="A20" s="2" t="str">
        <f>PARÁMETROS!A22</f>
        <v>ESPONJA DE LIMPIEZA</v>
      </c>
      <c r="B20" s="8" t="str">
        <f>PARÁMETROS!B22</f>
        <v>UNIDAD</v>
      </c>
      <c r="C20" s="32">
        <f>PARÁMETROS!C22</f>
        <v>0</v>
      </c>
      <c r="D20" s="61"/>
      <c r="E20" s="72">
        <f t="shared" si="4"/>
        <v>0</v>
      </c>
      <c r="F20" s="10">
        <f t="shared" si="5"/>
        <v>0</v>
      </c>
      <c r="G20" s="32">
        <f t="shared" si="6"/>
        <v>0</v>
      </c>
      <c r="H20" s="31">
        <f t="shared" si="7"/>
        <v>0</v>
      </c>
    </row>
    <row r="21" spans="1:8" s="2" customFormat="1">
      <c r="A21" s="2" t="str">
        <f>PARÁMETROS!A9</f>
        <v>BOLSA DE BASURA</v>
      </c>
      <c r="B21" s="8" t="str">
        <f>PARÁMETROS!B9</f>
        <v>UNIDAD</v>
      </c>
      <c r="C21" s="32">
        <f>PARÁMETROS!C9</f>
        <v>49.84</v>
      </c>
      <c r="D21" s="61">
        <v>4</v>
      </c>
      <c r="E21" s="72">
        <f t="shared" si="4"/>
        <v>4.2553191489361701E-2</v>
      </c>
      <c r="F21" s="10">
        <f t="shared" si="5"/>
        <v>199.36</v>
      </c>
      <c r="G21" s="32">
        <f t="shared" si="6"/>
        <v>2.1208510638297873</v>
      </c>
      <c r="H21" s="31">
        <f t="shared" si="7"/>
        <v>5.3074735429073658E-3</v>
      </c>
    </row>
    <row r="22" spans="1:8" s="2" customFormat="1">
      <c r="A22" s="2" t="str">
        <f>PARÁMETROS!A14</f>
        <v>COLETO</v>
      </c>
      <c r="B22" s="8" t="str">
        <f>PARÁMETROS!B14</f>
        <v>UNIDAD</v>
      </c>
      <c r="C22" s="32">
        <f>PARÁMETROS!C14</f>
        <v>0</v>
      </c>
      <c r="D22" s="61"/>
      <c r="E22" s="72">
        <f t="shared" si="4"/>
        <v>0</v>
      </c>
      <c r="F22" s="10">
        <f t="shared" si="5"/>
        <v>0</v>
      </c>
      <c r="G22" s="32">
        <f t="shared" si="6"/>
        <v>0</v>
      </c>
      <c r="H22" s="31">
        <f t="shared" si="7"/>
        <v>0</v>
      </c>
    </row>
    <row r="23" spans="1:8" s="2" customFormat="1">
      <c r="A23" s="2" t="str">
        <f>PARÁMETROS!A33</f>
        <v xml:space="preserve">FÓSFOROS </v>
      </c>
      <c r="B23" s="40" t="str">
        <f>PARÁMETROS!B33</f>
        <v>C.GRDE</v>
      </c>
      <c r="C23" s="32">
        <f>PARÁMETROS!C33</f>
        <v>1.63</v>
      </c>
      <c r="D23" s="61"/>
      <c r="E23" s="72">
        <f t="shared" si="4"/>
        <v>0</v>
      </c>
      <c r="F23" s="10">
        <f t="shared" si="5"/>
        <v>0</v>
      </c>
      <c r="G23" s="32">
        <f t="shared" si="6"/>
        <v>0</v>
      </c>
      <c r="H23" s="31">
        <f t="shared" si="7"/>
        <v>0</v>
      </c>
    </row>
    <row r="24" spans="1:8">
      <c r="A24" s="303" t="s">
        <v>38</v>
      </c>
      <c r="B24" s="304"/>
      <c r="C24" s="305"/>
      <c r="D24" s="305"/>
      <c r="E24" s="306"/>
      <c r="F24" s="53">
        <f>SUM(F6:F23)</f>
        <v>32071.061692307692</v>
      </c>
      <c r="G24" s="53">
        <f>SUM(G6:G23)</f>
        <v>341.1815073649754</v>
      </c>
      <c r="H24" s="54">
        <f t="shared" si="1"/>
        <v>0.85381376116007712</v>
      </c>
    </row>
    <row r="25" spans="1:8">
      <c r="A25" s="4" t="str">
        <f>PARÁMETROS!A67</f>
        <v>MANO DE OBRA</v>
      </c>
      <c r="B25" s="5" t="str">
        <f>PARÁMETROS!B67</f>
        <v xml:space="preserve">JORNAL </v>
      </c>
      <c r="C25" s="6">
        <f>PARÁMETROS!C67</f>
        <v>1830.3553997660001</v>
      </c>
      <c r="D25" s="28">
        <v>3</v>
      </c>
      <c r="E25" s="74">
        <f>D25/F3</f>
        <v>3.1914893617021274E-2</v>
      </c>
      <c r="F25" s="6">
        <f>D25*C25</f>
        <v>5491.0661992980004</v>
      </c>
      <c r="G25" s="6">
        <f>F25/F3</f>
        <v>58.415597864872346</v>
      </c>
      <c r="H25" s="49">
        <f t="shared" si="1"/>
        <v>0.14618623883992296</v>
      </c>
    </row>
    <row r="26" spans="1:8">
      <c r="A26" s="307" t="s">
        <v>39</v>
      </c>
      <c r="B26" s="307"/>
      <c r="C26" s="307"/>
      <c r="D26" s="307"/>
      <c r="E26" s="307"/>
      <c r="F26" s="53">
        <f>F24+F25</f>
        <v>37562.127891605691</v>
      </c>
      <c r="G26" s="53">
        <f>G24+G25</f>
        <v>399.59710522984773</v>
      </c>
      <c r="H26" s="54">
        <f t="shared" si="1"/>
        <v>1</v>
      </c>
    </row>
    <row r="28" spans="1:8">
      <c r="A28" s="5" t="s">
        <v>87</v>
      </c>
      <c r="B28" s="60"/>
    </row>
  </sheetData>
  <mergeCells count="13">
    <mergeCell ref="H1:H5"/>
    <mergeCell ref="B2:C2"/>
    <mergeCell ref="D2:G2"/>
    <mergeCell ref="B3:E3"/>
    <mergeCell ref="F3:G3"/>
    <mergeCell ref="A4:C4"/>
    <mergeCell ref="D4:E4"/>
    <mergeCell ref="F4:G4"/>
    <mergeCell ref="A24:E24"/>
    <mergeCell ref="A26:E26"/>
    <mergeCell ref="A1:A3"/>
    <mergeCell ref="B1:C1"/>
    <mergeCell ref="D1:G1"/>
  </mergeCells>
  <printOptions horizontalCentered="1" verticalCentered="1" gridLines="1"/>
  <pageMargins left="0.70866141732283472" right="0.70866141732283472" top="0.74803149606299213" bottom="0.74803149606299213" header="0.31496062992125984" footer="0.31496062992125984"/>
  <pageSetup scale="85" orientation="landscape" r:id="rId1"/>
  <headerFooter>
    <oddFooter>&amp;RCASCOS DE GUAYABA DE 500GR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H29"/>
  <sheetViews>
    <sheetView zoomScaleNormal="75" workbookViewId="0">
      <selection activeCell="D21" sqref="D21"/>
    </sheetView>
  </sheetViews>
  <sheetFormatPr baseColWidth="10" defaultRowHeight="15"/>
  <cols>
    <col min="1" max="1" width="39.85546875" customWidth="1"/>
    <col min="7" max="7" width="12.140625" customWidth="1"/>
  </cols>
  <sheetData>
    <row r="1" spans="1:8">
      <c r="A1" s="316" t="s">
        <v>162</v>
      </c>
      <c r="B1" s="238" t="s">
        <v>41</v>
      </c>
      <c r="C1" s="239"/>
      <c r="D1" s="246">
        <v>42500</v>
      </c>
      <c r="E1" s="247"/>
      <c r="F1" s="247"/>
      <c r="G1" s="247"/>
      <c r="H1" s="236" t="s">
        <v>43</v>
      </c>
    </row>
    <row r="2" spans="1:8">
      <c r="A2" s="317"/>
      <c r="B2" s="238" t="s">
        <v>42</v>
      </c>
      <c r="C2" s="239"/>
      <c r="D2" s="249" t="s">
        <v>174</v>
      </c>
      <c r="E2" s="250"/>
      <c r="F2" s="250"/>
      <c r="G2" s="250"/>
      <c r="H2" s="237"/>
    </row>
    <row r="3" spans="1:8">
      <c r="A3" s="318"/>
      <c r="B3" s="243" t="s">
        <v>37</v>
      </c>
      <c r="C3" s="244"/>
      <c r="D3" s="244"/>
      <c r="E3" s="245"/>
      <c r="F3" s="252">
        <v>150</v>
      </c>
      <c r="G3" s="252"/>
      <c r="H3" s="237"/>
    </row>
    <row r="4" spans="1:8" s="2" customFormat="1">
      <c r="A4" s="282" t="s">
        <v>91</v>
      </c>
      <c r="B4" s="283"/>
      <c r="C4" s="283"/>
      <c r="D4" s="266" t="s">
        <v>85</v>
      </c>
      <c r="E4" s="255"/>
      <c r="F4" s="256" t="s">
        <v>86</v>
      </c>
      <c r="G4" s="257"/>
      <c r="H4" s="237"/>
    </row>
    <row r="5" spans="1:8">
      <c r="A5" s="106" t="str">
        <f>PARÁMETROS!A1</f>
        <v>MATERIA PRIMA E INSUMOS GAVCA</v>
      </c>
      <c r="B5" s="108" t="str">
        <f>PARÁMETROS!B1</f>
        <v>UNIDAD</v>
      </c>
      <c r="C5" s="107" t="str">
        <f>PARÁMETROS!C1</f>
        <v>COSTO</v>
      </c>
      <c r="D5" s="27" t="s">
        <v>35</v>
      </c>
      <c r="E5" s="27" t="s">
        <v>89</v>
      </c>
      <c r="F5" s="27" t="s">
        <v>35</v>
      </c>
      <c r="G5" s="26" t="s">
        <v>89</v>
      </c>
      <c r="H5" s="278"/>
    </row>
    <row r="6" spans="1:8">
      <c r="A6" s="2" t="str">
        <f>PARÁMETROS!A52</f>
        <v>PIMENTÓN</v>
      </c>
      <c r="B6" s="39" t="str">
        <f>PARÁMETROS!B52</f>
        <v>KILO</v>
      </c>
      <c r="C6" s="32">
        <f>PARÁMETROS!C52</f>
        <v>800</v>
      </c>
      <c r="D6" s="28">
        <v>65.5</v>
      </c>
      <c r="E6" s="72">
        <f>D6/F$3</f>
        <v>0.43666666666666665</v>
      </c>
      <c r="F6" s="9">
        <f>D6*C6</f>
        <v>52400</v>
      </c>
      <c r="G6" s="32">
        <f>F6/F$3</f>
        <v>349.33333333333331</v>
      </c>
      <c r="H6" s="30">
        <f t="shared" ref="H6:H25" si="0">G6/G$25</f>
        <v>0.66527903601921556</v>
      </c>
    </row>
    <row r="7" spans="1:8">
      <c r="A7" s="2" t="str">
        <f>PARÁMETROS!A8</f>
        <v>AZÚCAR</v>
      </c>
      <c r="B7" s="8" t="str">
        <f>PARÁMETROS!B8</f>
        <v>KILO</v>
      </c>
      <c r="C7" s="32">
        <f>PARÁMETROS!C8</f>
        <v>300</v>
      </c>
      <c r="D7" s="28">
        <v>37.450000000000003</v>
      </c>
      <c r="E7" s="72">
        <f t="shared" ref="E7:E14" si="1">D7/F$3</f>
        <v>0.24966666666666668</v>
      </c>
      <c r="F7" s="10">
        <f t="shared" ref="F7:F14" si="2">D7*C7</f>
        <v>11235</v>
      </c>
      <c r="G7" s="32">
        <f t="shared" ref="G7:G14" si="3">F7/F$3</f>
        <v>74.900000000000006</v>
      </c>
      <c r="H7" s="31">
        <f t="shared" si="0"/>
        <v>0.14264141163503605</v>
      </c>
    </row>
    <row r="8" spans="1:8">
      <c r="A8" s="2" t="str">
        <f>PARÁMETROS!A64</f>
        <v>VINAGRE</v>
      </c>
      <c r="B8" s="8" t="str">
        <f>PARÁMETROS!B64</f>
        <v>LITRO</v>
      </c>
      <c r="C8" s="32">
        <f>PARÁMETROS!C64</f>
        <v>255.06</v>
      </c>
      <c r="D8" s="28">
        <v>9</v>
      </c>
      <c r="E8" s="72">
        <f t="shared" si="1"/>
        <v>0.06</v>
      </c>
      <c r="F8" s="10">
        <f t="shared" si="2"/>
        <v>2295.54</v>
      </c>
      <c r="G8" s="32">
        <f t="shared" si="3"/>
        <v>15.303599999999999</v>
      </c>
      <c r="H8" s="31">
        <f t="shared" si="0"/>
        <v>2.9144554166861646E-2</v>
      </c>
    </row>
    <row r="9" spans="1:8">
      <c r="A9" s="2" t="str">
        <f>PARÁMETROS!A39</f>
        <v>FRASCO 200GR</v>
      </c>
      <c r="B9" s="8" t="str">
        <f>PARÁMETROS!B39</f>
        <v>UNIDAD</v>
      </c>
      <c r="C9" s="32">
        <f>PARÁMETROS!C39</f>
        <v>32.03</v>
      </c>
      <c r="D9" s="169">
        <f>F$3</f>
        <v>150</v>
      </c>
      <c r="E9" s="72">
        <f t="shared" si="1"/>
        <v>1</v>
      </c>
      <c r="F9" s="10">
        <f t="shared" si="2"/>
        <v>4804.5</v>
      </c>
      <c r="G9" s="32">
        <f t="shared" si="3"/>
        <v>32.03</v>
      </c>
      <c r="H9" s="31">
        <f t="shared" si="0"/>
        <v>6.099872382737255E-2</v>
      </c>
    </row>
    <row r="10" spans="1:8">
      <c r="A10" s="2" t="str">
        <f>PARÁMETROS!A27</f>
        <v>ETIQUETA FRASCO DE 200GR</v>
      </c>
      <c r="B10" s="8" t="str">
        <f>PARÁMETROS!B27</f>
        <v>UNIDAD</v>
      </c>
      <c r="C10" s="32">
        <f>PARÁMETROS!C27</f>
        <v>14.8</v>
      </c>
      <c r="D10" s="169">
        <f>F$3</f>
        <v>150</v>
      </c>
      <c r="E10" s="72">
        <f t="shared" si="1"/>
        <v>1</v>
      </c>
      <c r="F10" s="10">
        <f t="shared" si="2"/>
        <v>2220</v>
      </c>
      <c r="G10" s="32">
        <f t="shared" si="3"/>
        <v>14.8</v>
      </c>
      <c r="H10" s="31">
        <f t="shared" si="0"/>
        <v>2.8185485877149977E-2</v>
      </c>
    </row>
    <row r="11" spans="1:8">
      <c r="A11" s="2" t="str">
        <f>PARÁMETROS!A32</f>
        <v>PRESINTO TAPA DE 200GR</v>
      </c>
      <c r="B11" s="8" t="str">
        <f>PARÁMETROS!B32</f>
        <v>UNIDAD</v>
      </c>
      <c r="C11" s="32">
        <f>PARÁMETROS!C32</f>
        <v>0.5</v>
      </c>
      <c r="D11" s="169">
        <f>F$3</f>
        <v>150</v>
      </c>
      <c r="E11" s="72">
        <f t="shared" si="1"/>
        <v>1</v>
      </c>
      <c r="F11" s="10">
        <f t="shared" si="2"/>
        <v>75</v>
      </c>
      <c r="G11" s="32">
        <f t="shared" si="3"/>
        <v>0.5</v>
      </c>
      <c r="H11" s="31">
        <f t="shared" si="0"/>
        <v>9.522123607145262E-4</v>
      </c>
    </row>
    <row r="12" spans="1:8">
      <c r="A12" s="2" t="str">
        <f>PARÁMETROS!A41</f>
        <v>GAS (COSTO 1% DE CONSUMO)</v>
      </c>
      <c r="B12" s="8" t="str">
        <f>PARÁMETROS!B41</f>
        <v>1%</v>
      </c>
      <c r="C12" s="32">
        <f>PARÁMETROS!C41</f>
        <v>92.307692307692307</v>
      </c>
      <c r="D12" s="28">
        <v>1</v>
      </c>
      <c r="E12" s="72">
        <f t="shared" si="1"/>
        <v>6.6666666666666671E-3</v>
      </c>
      <c r="F12" s="10">
        <f t="shared" si="2"/>
        <v>92.307692307692307</v>
      </c>
      <c r="G12" s="32">
        <f t="shared" si="3"/>
        <v>0.61538461538461542</v>
      </c>
      <c r="H12" s="31">
        <f t="shared" si="0"/>
        <v>1.1719536747255709E-3</v>
      </c>
    </row>
    <row r="13" spans="1:8">
      <c r="A13" s="2" t="str">
        <f>PARÁMETROS!A20</f>
        <v>ELECTRICIDAD</v>
      </c>
      <c r="B13" s="8" t="str">
        <f>PARÁMETROS!B20</f>
        <v>KWH</v>
      </c>
      <c r="C13" s="32">
        <f>PARÁMETROS!C20</f>
        <v>0</v>
      </c>
      <c r="D13" s="28"/>
      <c r="E13" s="72">
        <f t="shared" si="1"/>
        <v>0</v>
      </c>
      <c r="F13" s="10">
        <f t="shared" si="2"/>
        <v>0</v>
      </c>
      <c r="G13" s="32">
        <f t="shared" si="3"/>
        <v>0</v>
      </c>
      <c r="H13" s="31">
        <f t="shared" si="0"/>
        <v>0</v>
      </c>
    </row>
    <row r="14" spans="1:8">
      <c r="A14" s="2" t="str">
        <f>PARÁMETROS!A4</f>
        <v>AGUA</v>
      </c>
      <c r="B14" s="8" t="str">
        <f>PARÁMETROS!B4</f>
        <v>UNITARIO E</v>
      </c>
      <c r="C14" s="32">
        <f>PARÁMETROS!C4</f>
        <v>0</v>
      </c>
      <c r="D14" s="28"/>
      <c r="E14" s="72">
        <f t="shared" si="1"/>
        <v>0</v>
      </c>
      <c r="F14" s="10">
        <f t="shared" si="2"/>
        <v>0</v>
      </c>
      <c r="G14" s="32">
        <f t="shared" si="3"/>
        <v>0</v>
      </c>
      <c r="H14" s="31">
        <f t="shared" si="0"/>
        <v>0</v>
      </c>
    </row>
    <row r="15" spans="1:8" s="2" customFormat="1">
      <c r="A15" s="2" t="str">
        <f>PARÁMETROS!A43</f>
        <v>GUANTES DE LATEX RE-USABLES</v>
      </c>
      <c r="B15" s="8" t="str">
        <f>PARÁMETROS!B43</f>
        <v>PAR</v>
      </c>
      <c r="C15" s="2">
        <f>PARÁMETROS!C43</f>
        <v>335.63</v>
      </c>
      <c r="D15" s="61">
        <f>3/10</f>
        <v>0.3</v>
      </c>
      <c r="E15" s="72">
        <f>D15/F$3</f>
        <v>2E-3</v>
      </c>
      <c r="F15" s="10">
        <f>D15*C15</f>
        <v>100.68899999999999</v>
      </c>
      <c r="G15" s="32">
        <f>F15/F$3</f>
        <v>0.67125999999999997</v>
      </c>
      <c r="H15" s="31">
        <f>G15/G$25</f>
        <v>1.2783641385064656E-3</v>
      </c>
    </row>
    <row r="16" spans="1:8" s="2" customFormat="1">
      <c r="A16" s="2" t="str">
        <f>PARÁMETROS!A17</f>
        <v>DETERGENTE PARA PISOS</v>
      </c>
      <c r="B16" s="8" t="str">
        <f>PARÁMETROS!B17</f>
        <v>LITRO</v>
      </c>
      <c r="C16" s="2">
        <f>PARÁMETROS!C17</f>
        <v>12.92</v>
      </c>
      <c r="D16" s="61"/>
      <c r="E16" s="72">
        <f t="shared" ref="E16:E22" si="4">D16/F$3</f>
        <v>0</v>
      </c>
      <c r="F16" s="10">
        <f t="shared" ref="F16:F22" si="5">D16*C16</f>
        <v>0</v>
      </c>
      <c r="G16" s="32">
        <f t="shared" ref="G16:G22" si="6">F16/F$3</f>
        <v>0</v>
      </c>
      <c r="H16" s="31">
        <f t="shared" ref="H16:H22" si="7">G16/G$25</f>
        <v>0</v>
      </c>
    </row>
    <row r="17" spans="1:8" s="2" customFormat="1">
      <c r="A17" s="2" t="str">
        <f>PARÁMETROS!A18</f>
        <v>DETERGENTE PARA VAJILLAS</v>
      </c>
      <c r="B17" s="8" t="str">
        <f>PARÁMETROS!B18</f>
        <v>LITRO</v>
      </c>
      <c r="C17" s="2">
        <f>PARÁMETROS!C18</f>
        <v>32.06</v>
      </c>
      <c r="D17" s="61"/>
      <c r="E17" s="72">
        <f t="shared" si="4"/>
        <v>0</v>
      </c>
      <c r="F17" s="10">
        <f t="shared" si="5"/>
        <v>0</v>
      </c>
      <c r="G17" s="32">
        <f t="shared" si="6"/>
        <v>0</v>
      </c>
      <c r="H17" s="31">
        <f t="shared" si="7"/>
        <v>0</v>
      </c>
    </row>
    <row r="18" spans="1:8" s="2" customFormat="1">
      <c r="A18" s="2" t="str">
        <f>PARÁMETROS!A6</f>
        <v>ALCOHOL</v>
      </c>
      <c r="B18" s="8" t="str">
        <f>PARÁMETROS!B6</f>
        <v>LITRO</v>
      </c>
      <c r="C18" s="2">
        <f>PARÁMETROS!C6</f>
        <v>300</v>
      </c>
      <c r="D18" s="61"/>
      <c r="E18" s="72">
        <f t="shared" si="4"/>
        <v>0</v>
      </c>
      <c r="F18" s="10">
        <f t="shared" si="5"/>
        <v>0</v>
      </c>
      <c r="G18" s="32">
        <f t="shared" si="6"/>
        <v>0</v>
      </c>
      <c r="H18" s="31">
        <f t="shared" si="7"/>
        <v>0</v>
      </c>
    </row>
    <row r="19" spans="1:8" s="2" customFormat="1">
      <c r="A19" s="2" t="str">
        <f>PARÁMETROS!A9</f>
        <v>BOLSA DE BASURA</v>
      </c>
      <c r="B19" s="8" t="str">
        <f>PARÁMETROS!B9</f>
        <v>UNIDAD</v>
      </c>
      <c r="C19" s="2">
        <f>PARÁMETROS!C9</f>
        <v>49.84</v>
      </c>
      <c r="D19" s="61">
        <v>1</v>
      </c>
      <c r="E19" s="72">
        <f t="shared" si="4"/>
        <v>6.6666666666666671E-3</v>
      </c>
      <c r="F19" s="10">
        <f t="shared" si="5"/>
        <v>49.84</v>
      </c>
      <c r="G19" s="32">
        <f t="shared" si="6"/>
        <v>0.33226666666666671</v>
      </c>
      <c r="H19" s="31">
        <f t="shared" si="7"/>
        <v>6.3277685410682654E-4</v>
      </c>
    </row>
    <row r="20" spans="1:8" s="2" customFormat="1">
      <c r="A20" s="2" t="str">
        <f>PARÁMETROS!A22</f>
        <v>ESPONJA DE LIMPIEZA</v>
      </c>
      <c r="B20" s="8" t="str">
        <f>PARÁMETROS!B22</f>
        <v>UNIDAD</v>
      </c>
      <c r="C20" s="2">
        <f>PARÁMETROS!C22</f>
        <v>0</v>
      </c>
      <c r="D20" s="61"/>
      <c r="E20" s="72">
        <f t="shared" si="4"/>
        <v>0</v>
      </c>
      <c r="F20" s="10">
        <f t="shared" si="5"/>
        <v>0</v>
      </c>
      <c r="G20" s="32">
        <f t="shared" si="6"/>
        <v>0</v>
      </c>
      <c r="H20" s="31">
        <f t="shared" si="7"/>
        <v>0</v>
      </c>
    </row>
    <row r="21" spans="1:8" s="2" customFormat="1">
      <c r="A21" s="2" t="str">
        <f>PARÁMETROS!A9</f>
        <v>BOLSA DE BASURA</v>
      </c>
      <c r="B21" s="8" t="str">
        <f>PARÁMETROS!B9</f>
        <v>UNIDAD</v>
      </c>
      <c r="C21" s="2">
        <f>PARÁMETROS!C9</f>
        <v>49.84</v>
      </c>
      <c r="D21" s="61"/>
      <c r="E21" s="72">
        <f t="shared" si="4"/>
        <v>0</v>
      </c>
      <c r="F21" s="10">
        <f t="shared" si="5"/>
        <v>0</v>
      </c>
      <c r="G21" s="32">
        <f t="shared" si="6"/>
        <v>0</v>
      </c>
      <c r="H21" s="31">
        <f t="shared" si="7"/>
        <v>0</v>
      </c>
    </row>
    <row r="22" spans="1:8" s="2" customFormat="1">
      <c r="A22" s="2" t="str">
        <f>PARÁMETROS!A33</f>
        <v xml:space="preserve">FÓSFOROS </v>
      </c>
      <c r="B22" s="40" t="str">
        <f>PARÁMETROS!B33</f>
        <v>C.GRDE</v>
      </c>
      <c r="C22" s="2">
        <f>PARÁMETROS!C33</f>
        <v>1.63</v>
      </c>
      <c r="D22" s="61"/>
      <c r="E22" s="72">
        <f t="shared" si="4"/>
        <v>0</v>
      </c>
      <c r="F22" s="10">
        <f t="shared" si="5"/>
        <v>0</v>
      </c>
      <c r="G22" s="32">
        <f t="shared" si="6"/>
        <v>0</v>
      </c>
      <c r="H22" s="31">
        <f t="shared" si="7"/>
        <v>0</v>
      </c>
    </row>
    <row r="23" spans="1:8">
      <c r="A23" s="311" t="s">
        <v>38</v>
      </c>
      <c r="B23" s="312"/>
      <c r="C23" s="313"/>
      <c r="D23" s="313"/>
      <c r="E23" s="314"/>
      <c r="F23" s="75">
        <f>SUM(F6:F22)</f>
        <v>73272.876692307676</v>
      </c>
      <c r="G23" s="75">
        <f>SUM(G6:G22)</f>
        <v>488.48584461538474</v>
      </c>
      <c r="H23" s="76">
        <f t="shared" si="0"/>
        <v>0.93028451855368943</v>
      </c>
    </row>
    <row r="24" spans="1:8">
      <c r="A24" s="4" t="str">
        <f>PARÁMETROS!A67</f>
        <v>MANO DE OBRA</v>
      </c>
      <c r="B24" s="5" t="str">
        <f>PARÁMETROS!B67</f>
        <v xml:space="preserve">JORNAL </v>
      </c>
      <c r="C24" s="6">
        <f>PARÁMETROS!C67</f>
        <v>1830.3553997660001</v>
      </c>
      <c r="D24" s="28">
        <v>3</v>
      </c>
      <c r="E24" s="74">
        <f>D24/F3</f>
        <v>0.02</v>
      </c>
      <c r="F24" s="6">
        <f>D24*C24</f>
        <v>5491.0661992980004</v>
      </c>
      <c r="G24" s="6">
        <f>F24/F3</f>
        <v>36.60710799532</v>
      </c>
      <c r="H24" s="49">
        <f t="shared" si="0"/>
        <v>6.9715481446310526E-2</v>
      </c>
    </row>
    <row r="25" spans="1:8">
      <c r="A25" s="315" t="s">
        <v>39</v>
      </c>
      <c r="B25" s="315"/>
      <c r="C25" s="315"/>
      <c r="D25" s="315"/>
      <c r="E25" s="315"/>
      <c r="F25" s="75">
        <f>F23+F24</f>
        <v>78763.942891605679</v>
      </c>
      <c r="G25" s="75">
        <f>G23+G24</f>
        <v>525.09295261070474</v>
      </c>
      <c r="H25" s="76">
        <f t="shared" si="0"/>
        <v>1</v>
      </c>
    </row>
    <row r="27" spans="1:8">
      <c r="A27" s="5" t="s">
        <v>87</v>
      </c>
      <c r="B27" s="60"/>
    </row>
    <row r="29" spans="1:8">
      <c r="B29" t="s">
        <v>92</v>
      </c>
    </row>
  </sheetData>
  <mergeCells count="13">
    <mergeCell ref="H1:H5"/>
    <mergeCell ref="B2:C2"/>
    <mergeCell ref="D2:G2"/>
    <mergeCell ref="B3:E3"/>
    <mergeCell ref="F3:G3"/>
    <mergeCell ref="A4:C4"/>
    <mergeCell ref="D4:E4"/>
    <mergeCell ref="F4:G4"/>
    <mergeCell ref="A23:E23"/>
    <mergeCell ref="A25:E25"/>
    <mergeCell ref="A1:A3"/>
    <mergeCell ref="B1:C1"/>
    <mergeCell ref="D1:G1"/>
  </mergeCells>
  <printOptions horizontalCentered="1" verticalCentered="1" gridLines="1"/>
  <pageMargins left="0.70866141732283472" right="0.70866141732283472" top="0.74803149606299213" bottom="0.74803149606299213" header="0.31496062992125984" footer="0.31496062992125984"/>
  <pageSetup scale="85" orientation="landscape" r:id="rId1"/>
  <headerFooter>
    <oddFooter>&amp;RMERMELADA DE PIMENTÓN DE 200GR</oddFooter>
  </headerFooter>
  <ignoredErrors>
    <ignoredError sqref="A20 B20:C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PARÁMETROS</vt:lpstr>
      <vt:lpstr>ANTIPASTO 500</vt:lpstr>
      <vt:lpstr>MOUSSE 230</vt:lpstr>
      <vt:lpstr>CCOS.PARCHITA 500</vt:lpstr>
      <vt:lpstr>LECHOSA 500</vt:lpstr>
      <vt:lpstr>LECHOSA PIÑA 500</vt:lpstr>
      <vt:lpstr>DURAZNOS ALM 500</vt:lpstr>
      <vt:lpstr>CCOS.GUAYABA 500</vt:lpstr>
      <vt:lpstr>M PIMENTÓN 200</vt:lpstr>
      <vt:lpstr>M DURAZNO 200</vt:lpstr>
      <vt:lpstr>M GUAYABA 200</vt:lpstr>
      <vt:lpstr>M GUAYABA 1K</vt:lpstr>
      <vt:lpstr>M MORA 200</vt:lpstr>
      <vt:lpstr>M PIÑA 200</vt:lpstr>
      <vt:lpstr>M GUAYABA 4K</vt:lpstr>
      <vt:lpstr>M FRESA 200</vt:lpstr>
      <vt:lpstr>CCS PARCHITA 600</vt:lpstr>
      <vt:lpstr>EN BLANCO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</dc:creator>
  <cp:lastModifiedBy>Ariana</cp:lastModifiedBy>
  <cp:lastPrinted>2016-06-09T19:23:55Z</cp:lastPrinted>
  <dcterms:created xsi:type="dcterms:W3CDTF">2013-10-11T13:38:30Z</dcterms:created>
  <dcterms:modified xsi:type="dcterms:W3CDTF">2017-10-19T22:29:00Z</dcterms:modified>
</cp:coreProperties>
</file>