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Mijn Documenten\DataProjecten\Publicaties\sbr\data\"/>
    </mc:Choice>
  </mc:AlternateContent>
  <xr:revisionPtr revIDLastSave="0" documentId="13_ncr:1_{83F0005E-2EB5-4B06-8981-87186069D6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vies 2023" sheetId="3" r:id="rId1"/>
    <sheet name="SBR Advies" sheetId="2" r:id="rId2"/>
    <sheet name="Backtest" sheetId="1" r:id="rId3"/>
    <sheet name="Anker-rente combinaties" sheetId="4" r:id="rId4"/>
    <sheet name="KeuzeOpgaveTool" sheetId="20" r:id="rId5"/>
    <sheet name="KeuzesTool" sheetId="21" r:id="rId6"/>
    <sheet name="Marktrente NL" sheetId="5" r:id="rId7"/>
    <sheet name="BBP_dv" sheetId="19" r:id="rId8"/>
    <sheet name="Correcties CBS" sheetId="6" r:id="rId9"/>
    <sheet name="CPB Data" sheetId="7" r:id="rId10"/>
    <sheet name="Inflatie" sheetId="8" r:id="rId11"/>
    <sheet name="AMECO Output Gap" sheetId="9" r:id="rId12"/>
    <sheet name="overheidsuitgaven_nominaal" sheetId="10" r:id="rId13"/>
    <sheet name="overheidsuitgaven_reeel" sheetId="11" r:id="rId14"/>
    <sheet name="som van overheids_uitgaven over" sheetId="13" r:id="rId15"/>
    <sheet name="subselectie core_overheidsuitga" sheetId="14" r:id="rId16"/>
    <sheet name="AMECO Policy" sheetId="15" r:id="rId17"/>
    <sheet name="AMECO Potential GDP" sheetId="16" r:id="rId18"/>
    <sheet name="Backtest-GDPpot_opt2" sheetId="18" state="hidden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9" l="1"/>
  <c r="P29" i="11"/>
  <c r="P5" i="1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4" i="11"/>
  <c r="O29" i="11"/>
  <c r="E29" i="11"/>
  <c r="D29" i="11"/>
  <c r="G29" i="10"/>
  <c r="AC3" i="1" l="1"/>
  <c r="P3" i="11" l="1"/>
  <c r="P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" i="10"/>
  <c r="G9" i="10"/>
  <c r="G10" i="10"/>
  <c r="G17" i="10"/>
  <c r="G18" i="10"/>
  <c r="G25" i="10"/>
  <c r="G26" i="10"/>
  <c r="I3" i="10"/>
  <c r="G3" i="10" s="1"/>
  <c r="I4" i="10"/>
  <c r="G4" i="10" s="1"/>
  <c r="I5" i="10"/>
  <c r="G5" i="10" s="1"/>
  <c r="I6" i="10"/>
  <c r="G6" i="10" s="1"/>
  <c r="I7" i="10"/>
  <c r="G7" i="10" s="1"/>
  <c r="I8" i="10"/>
  <c r="G8" i="10" s="1"/>
  <c r="I9" i="10"/>
  <c r="I10" i="10"/>
  <c r="I11" i="10"/>
  <c r="G11" i="10" s="1"/>
  <c r="I12" i="10"/>
  <c r="G12" i="10" s="1"/>
  <c r="I13" i="10"/>
  <c r="G13" i="10" s="1"/>
  <c r="I14" i="10"/>
  <c r="G14" i="10" s="1"/>
  <c r="I15" i="10"/>
  <c r="G15" i="10" s="1"/>
  <c r="I16" i="10"/>
  <c r="G16" i="10" s="1"/>
  <c r="I17" i="10"/>
  <c r="I18" i="10"/>
  <c r="I19" i="10"/>
  <c r="G19" i="10" s="1"/>
  <c r="I20" i="10"/>
  <c r="G20" i="10" s="1"/>
  <c r="I21" i="10"/>
  <c r="G21" i="10" s="1"/>
  <c r="I22" i="10"/>
  <c r="G22" i="10" s="1"/>
  <c r="I23" i="10"/>
  <c r="G23" i="10" s="1"/>
  <c r="I24" i="10"/>
  <c r="G24" i="10" s="1"/>
  <c r="I25" i="10"/>
  <c r="I26" i="10"/>
  <c r="I27" i="10"/>
  <c r="G27" i="10" s="1"/>
  <c r="I28" i="10"/>
  <c r="G28" i="10" s="1"/>
  <c r="I2" i="10"/>
  <c r="G2" i="10" s="1"/>
  <c r="D2" i="10" s="1"/>
  <c r="L7" i="21"/>
  <c r="S11" i="21"/>
  <c r="I11" i="21"/>
  <c r="J11" i="21" s="1"/>
  <c r="F17" i="21"/>
  <c r="E17" i="21"/>
  <c r="J8" i="21"/>
  <c r="O11" i="21"/>
  <c r="I36" i="3"/>
  <c r="J7" i="21"/>
  <c r="E11" i="21"/>
  <c r="F11" i="21"/>
  <c r="H2" i="3"/>
  <c r="C23" i="21"/>
  <c r="C22" i="21"/>
  <c r="C21" i="21"/>
  <c r="C20" i="21"/>
  <c r="C19" i="21"/>
  <c r="C18" i="21"/>
  <c r="C17" i="21"/>
  <c r="C16" i="21"/>
  <c r="C15" i="21"/>
  <c r="C14" i="21"/>
  <c r="C13" i="21"/>
  <c r="C11" i="21"/>
  <c r="M11" i="21" s="1"/>
  <c r="E6" i="4"/>
  <c r="F6" i="4"/>
  <c r="C6" i="4"/>
  <c r="G49" i="3"/>
  <c r="H49" i="3" s="1"/>
  <c r="I49" i="3" s="1"/>
  <c r="J49" i="3" s="1"/>
  <c r="D49" i="3"/>
  <c r="K49" i="3" s="1"/>
  <c r="K48" i="3"/>
  <c r="I48" i="3"/>
  <c r="J48" i="3" s="1"/>
  <c r="L48" i="3" s="1"/>
  <c r="H48" i="3"/>
  <c r="G48" i="3"/>
  <c r="E48" i="3"/>
  <c r="D48" i="3"/>
  <c r="H47" i="3"/>
  <c r="I47" i="3" s="1"/>
  <c r="J47" i="3" s="1"/>
  <c r="G47" i="3"/>
  <c r="D47" i="3"/>
  <c r="E47" i="3" s="1"/>
  <c r="G46" i="3"/>
  <c r="H46" i="3" s="1"/>
  <c r="I46" i="3" s="1"/>
  <c r="J46" i="3" s="1"/>
  <c r="D46" i="3"/>
  <c r="E46" i="3" s="1"/>
  <c r="K45" i="3"/>
  <c r="G45" i="3"/>
  <c r="H45" i="3" s="1"/>
  <c r="I45" i="3" s="1"/>
  <c r="J45" i="3" s="1"/>
  <c r="D45" i="3"/>
  <c r="E45" i="3" s="1"/>
  <c r="K44" i="3"/>
  <c r="I44" i="3"/>
  <c r="J44" i="3" s="1"/>
  <c r="L44" i="3" s="1"/>
  <c r="H44" i="3"/>
  <c r="G44" i="3"/>
  <c r="E44" i="3"/>
  <c r="D44" i="3"/>
  <c r="H43" i="3"/>
  <c r="I43" i="3" s="1"/>
  <c r="J43" i="3" s="1"/>
  <c r="D43" i="3"/>
  <c r="E43" i="3" s="1"/>
  <c r="I42" i="3"/>
  <c r="J42" i="3" s="1"/>
  <c r="H42" i="3"/>
  <c r="D42" i="3"/>
  <c r="K42" i="3" s="1"/>
  <c r="H41" i="3"/>
  <c r="I41" i="3" s="1"/>
  <c r="J41" i="3" s="1"/>
  <c r="D41" i="3"/>
  <c r="E41" i="3" s="1"/>
  <c r="H40" i="3"/>
  <c r="I40" i="3" s="1"/>
  <c r="J40" i="3" s="1"/>
  <c r="D40" i="3"/>
  <c r="E40" i="3" s="1"/>
  <c r="H39" i="3"/>
  <c r="I39" i="3" s="1"/>
  <c r="J39" i="3" s="1"/>
  <c r="D39" i="3"/>
  <c r="K39" i="3" s="1"/>
  <c r="K38" i="3"/>
  <c r="H38" i="3"/>
  <c r="I38" i="3" s="1"/>
  <c r="J38" i="3" s="1"/>
  <c r="L38" i="3" s="1"/>
  <c r="E38" i="3"/>
  <c r="D38" i="3"/>
  <c r="I37" i="3"/>
  <c r="J37" i="3" s="1"/>
  <c r="H37" i="3"/>
  <c r="G37" i="3"/>
  <c r="D37" i="3"/>
  <c r="E37" i="3" s="1"/>
  <c r="H36" i="3"/>
  <c r="J36" i="3" s="1"/>
  <c r="G36" i="3"/>
  <c r="D36" i="3"/>
  <c r="E36" i="3" s="1"/>
  <c r="G35" i="3"/>
  <c r="H35" i="3" s="1"/>
  <c r="I35" i="3" s="1"/>
  <c r="J35" i="3" s="1"/>
  <c r="D35" i="3"/>
  <c r="E35" i="3" s="1"/>
  <c r="G34" i="3"/>
  <c r="H34" i="3" s="1"/>
  <c r="I34" i="3" s="1"/>
  <c r="J34" i="3" s="1"/>
  <c r="L34" i="3" s="1"/>
  <c r="E34" i="3"/>
  <c r="D34" i="3"/>
  <c r="K34" i="3" s="1"/>
  <c r="I33" i="3"/>
  <c r="J33" i="3" s="1"/>
  <c r="H33" i="3"/>
  <c r="G33" i="3"/>
  <c r="D33" i="3"/>
  <c r="E33" i="3" s="1"/>
  <c r="K32" i="3"/>
  <c r="H32" i="3"/>
  <c r="I32" i="3" s="1"/>
  <c r="J32" i="3" s="1"/>
  <c r="G32" i="3"/>
  <c r="D32" i="3"/>
  <c r="E32" i="3" s="1"/>
  <c r="H31" i="3"/>
  <c r="I31" i="3" s="1"/>
  <c r="J31" i="3" s="1"/>
  <c r="D31" i="3"/>
  <c r="K31" i="3" s="1"/>
  <c r="H30" i="3"/>
  <c r="I30" i="3" s="1"/>
  <c r="J30" i="3" s="1"/>
  <c r="D30" i="3"/>
  <c r="K30" i="3" s="1"/>
  <c r="H29" i="3"/>
  <c r="I29" i="3" s="1"/>
  <c r="J29" i="3" s="1"/>
  <c r="L29" i="3" s="1"/>
  <c r="D29" i="3"/>
  <c r="K29" i="3" s="1"/>
  <c r="H28" i="3"/>
  <c r="I28" i="3" s="1"/>
  <c r="J28" i="3" s="1"/>
  <c r="D28" i="3"/>
  <c r="E28" i="3" s="1"/>
  <c r="K27" i="3"/>
  <c r="I27" i="3"/>
  <c r="J27" i="3" s="1"/>
  <c r="L27" i="3" s="1"/>
  <c r="H27" i="3"/>
  <c r="D27" i="3"/>
  <c r="E27" i="3" s="1"/>
  <c r="J26" i="3"/>
  <c r="I26" i="3"/>
  <c r="H26" i="3"/>
  <c r="D26" i="3"/>
  <c r="K26" i="3" s="1"/>
  <c r="G11" i="21" l="1"/>
  <c r="K11" i="21" s="1"/>
  <c r="P11" i="21"/>
  <c r="K28" i="3"/>
  <c r="K37" i="3"/>
  <c r="L43" i="3"/>
  <c r="L47" i="3"/>
  <c r="E39" i="3"/>
  <c r="L37" i="3"/>
  <c r="K33" i="3"/>
  <c r="L33" i="3" s="1"/>
  <c r="K43" i="3"/>
  <c r="K47" i="3"/>
  <c r="E49" i="3"/>
  <c r="L28" i="3"/>
  <c r="E29" i="3"/>
  <c r="L32" i="3"/>
  <c r="K36" i="3"/>
  <c r="L36" i="3" s="1"/>
  <c r="L45" i="3"/>
  <c r="E26" i="3"/>
  <c r="L26" i="3"/>
  <c r="L30" i="3"/>
  <c r="L42" i="3"/>
  <c r="L31" i="3"/>
  <c r="L39" i="3"/>
  <c r="L41" i="3"/>
  <c r="L49" i="3"/>
  <c r="E42" i="3"/>
  <c r="E30" i="3"/>
  <c r="E31" i="3"/>
  <c r="K40" i="3"/>
  <c r="L40" i="3" s="1"/>
  <c r="K35" i="3"/>
  <c r="L35" i="3" s="1"/>
  <c r="K41" i="3"/>
  <c r="K46" i="3"/>
  <c r="L46" i="3" s="1"/>
  <c r="H11" i="21" l="1"/>
  <c r="F6" i="20" s="1"/>
  <c r="G19" i="19"/>
  <c r="G20" i="3"/>
  <c r="H20" i="3" s="1"/>
  <c r="G25" i="3"/>
  <c r="H25" i="3" s="1"/>
  <c r="I25" i="3" s="1"/>
  <c r="J25" i="3" s="1"/>
  <c r="G21" i="3"/>
  <c r="G22" i="3"/>
  <c r="H22" i="3" s="1"/>
  <c r="I22" i="3" s="1"/>
  <c r="J22" i="3" s="1"/>
  <c r="G23" i="3"/>
  <c r="G24" i="3"/>
  <c r="G9" i="3"/>
  <c r="G10" i="3"/>
  <c r="H10" i="3" s="1"/>
  <c r="I10" i="3" s="1"/>
  <c r="J10" i="3" s="1"/>
  <c r="G11" i="3"/>
  <c r="H11" i="3" s="1"/>
  <c r="I11" i="3" s="1"/>
  <c r="J11" i="3" s="1"/>
  <c r="G12" i="3"/>
  <c r="G13" i="3"/>
  <c r="H13" i="3" s="1"/>
  <c r="I13" i="3" s="1"/>
  <c r="J13" i="3" s="1"/>
  <c r="D25" i="3"/>
  <c r="K25" i="3" s="1"/>
  <c r="H19" i="3"/>
  <c r="I19" i="3" s="1"/>
  <c r="J19" i="3" s="1"/>
  <c r="D19" i="3"/>
  <c r="E19" i="3" s="1"/>
  <c r="D13" i="3"/>
  <c r="K13" i="3" s="1"/>
  <c r="H7" i="3"/>
  <c r="I7" i="3" s="1"/>
  <c r="J7" i="3" s="1"/>
  <c r="D7" i="3"/>
  <c r="K7" i="3" s="1"/>
  <c r="G6" i="19"/>
  <c r="G17" i="19" s="1"/>
  <c r="G7" i="19"/>
  <c r="G8" i="19"/>
  <c r="G9" i="19"/>
  <c r="F7" i="19"/>
  <c r="F8" i="19" s="1"/>
  <c r="F9" i="19" s="1"/>
  <c r="F10" i="19" s="1"/>
  <c r="F6" i="19"/>
  <c r="H4" i="3"/>
  <c r="I4" i="3" s="1"/>
  <c r="J4" i="3" s="1"/>
  <c r="D4" i="3"/>
  <c r="K4" i="3" s="1"/>
  <c r="D5" i="3"/>
  <c r="E5" i="3" s="1"/>
  <c r="H5" i="3"/>
  <c r="I5" i="3" s="1"/>
  <c r="J5" i="3" s="1"/>
  <c r="D22" i="3"/>
  <c r="K22" i="3" s="1"/>
  <c r="H16" i="3"/>
  <c r="I16" i="3" s="1"/>
  <c r="J16" i="3" s="1"/>
  <c r="D16" i="3"/>
  <c r="K16" i="3" s="1"/>
  <c r="D10" i="3"/>
  <c r="K10" i="3" s="1"/>
  <c r="D11" i="3"/>
  <c r="E11" i="3" s="1"/>
  <c r="I2" i="3"/>
  <c r="J2" i="3" s="1"/>
  <c r="G21" i="19" l="1"/>
  <c r="B60" i="3"/>
  <c r="M45" i="3" s="1"/>
  <c r="N45" i="3" s="1"/>
  <c r="M39" i="3"/>
  <c r="N39" i="3" s="1"/>
  <c r="M49" i="3"/>
  <c r="N49" i="3" s="1"/>
  <c r="E25" i="3"/>
  <c r="L25" i="3"/>
  <c r="E13" i="3"/>
  <c r="K19" i="3"/>
  <c r="L19" i="3" s="1"/>
  <c r="M19" i="3" s="1"/>
  <c r="N19" i="3" s="1"/>
  <c r="L13" i="3"/>
  <c r="E7" i="3"/>
  <c r="L7" i="3"/>
  <c r="L4" i="3"/>
  <c r="K5" i="3"/>
  <c r="L5" i="3" s="1"/>
  <c r="E22" i="3"/>
  <c r="E4" i="3"/>
  <c r="L22" i="3"/>
  <c r="E16" i="3"/>
  <c r="L16" i="3"/>
  <c r="E10" i="3"/>
  <c r="K11" i="3"/>
  <c r="L11" i="3" s="1"/>
  <c r="L10" i="3"/>
  <c r="M31" i="3" l="1"/>
  <c r="N31" i="3" s="1"/>
  <c r="M35" i="3"/>
  <c r="N35" i="3" s="1"/>
  <c r="M47" i="3"/>
  <c r="N47" i="3" s="1"/>
  <c r="M26" i="3"/>
  <c r="N26" i="3" s="1"/>
  <c r="M25" i="3"/>
  <c r="N25" i="3" s="1"/>
  <c r="M30" i="3"/>
  <c r="N30" i="3" s="1"/>
  <c r="M43" i="3"/>
  <c r="N43" i="3" s="1"/>
  <c r="M37" i="3"/>
  <c r="N37" i="3" s="1"/>
  <c r="M41" i="3"/>
  <c r="N41" i="3" s="1"/>
  <c r="M33" i="3"/>
  <c r="N33" i="3" s="1"/>
  <c r="M28" i="3"/>
  <c r="N28" i="3" s="1"/>
  <c r="M27" i="3"/>
  <c r="N27" i="3" s="1"/>
  <c r="M34" i="3"/>
  <c r="N34" i="3" s="1"/>
  <c r="M40" i="3"/>
  <c r="N40" i="3" s="1"/>
  <c r="M38" i="3"/>
  <c r="N38" i="3" s="1"/>
  <c r="M36" i="3"/>
  <c r="N36" i="3" s="1"/>
  <c r="L11" i="21"/>
  <c r="M7" i="3"/>
  <c r="N7" i="3" s="1"/>
  <c r="M46" i="3"/>
  <c r="N46" i="3" s="1"/>
  <c r="M32" i="3"/>
  <c r="N32" i="3" s="1"/>
  <c r="M48" i="3"/>
  <c r="N48" i="3" s="1"/>
  <c r="M13" i="3"/>
  <c r="N13" i="3" s="1"/>
  <c r="M42" i="3"/>
  <c r="N42" i="3" s="1"/>
  <c r="M44" i="3"/>
  <c r="N44" i="3" s="1"/>
  <c r="M29" i="3"/>
  <c r="N29" i="3" s="1"/>
  <c r="F3" i="20"/>
  <c r="F4" i="20"/>
  <c r="C11" i="19"/>
  <c r="C12" i="19" s="1"/>
  <c r="C13" i="19" s="1"/>
  <c r="C14" i="19" s="1"/>
  <c r="C67" i="3"/>
  <c r="C70" i="3" s="1"/>
  <c r="C66" i="3"/>
  <c r="B56" i="3"/>
  <c r="B5" i="4" s="1"/>
  <c r="B13" i="4" s="1"/>
  <c r="I10" i="4"/>
  <c r="D6" i="19"/>
  <c r="D7" i="19" s="1"/>
  <c r="D2" i="3"/>
  <c r="Q11" i="21" l="1"/>
  <c r="N11" i="21"/>
  <c r="C69" i="3"/>
  <c r="E2" i="3"/>
  <c r="K2" i="3"/>
  <c r="L2" i="3" s="1"/>
  <c r="M2" i="3" s="1"/>
  <c r="D8" i="19"/>
  <c r="D9" i="19" s="1"/>
  <c r="D10" i="19" s="1"/>
  <c r="D53" i="3"/>
  <c r="H17" i="19"/>
  <c r="H7" i="19"/>
  <c r="F5" i="20" l="1"/>
  <c r="R11" i="21"/>
  <c r="T11" i="21" s="1"/>
  <c r="H8" i="19"/>
  <c r="H9" i="19"/>
  <c r="I10" i="19" s="1"/>
  <c r="J10" i="19" s="1"/>
  <c r="E28" i="4" l="1"/>
  <c r="I20" i="3"/>
  <c r="J20" i="3" s="1"/>
  <c r="D3" i="3"/>
  <c r="K3" i="3" s="1"/>
  <c r="H21" i="3"/>
  <c r="I21" i="3" s="1"/>
  <c r="J21" i="3" s="1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AA53" i="18"/>
  <c r="U53" i="18"/>
  <c r="O53" i="18"/>
  <c r="N53" i="18"/>
  <c r="M53" i="18"/>
  <c r="L53" i="18"/>
  <c r="AL53" i="18" s="1"/>
  <c r="K53" i="18"/>
  <c r="J53" i="18"/>
  <c r="P53" i="18" s="1"/>
  <c r="E53" i="18"/>
  <c r="A53" i="18"/>
  <c r="U52" i="18"/>
  <c r="AA52" i="18" s="1"/>
  <c r="O52" i="18"/>
  <c r="N52" i="18"/>
  <c r="M52" i="18"/>
  <c r="L52" i="18"/>
  <c r="AL52" i="18" s="1"/>
  <c r="J52" i="18"/>
  <c r="A52" i="18"/>
  <c r="AA51" i="18"/>
  <c r="U51" i="18"/>
  <c r="O51" i="18"/>
  <c r="N51" i="18"/>
  <c r="M51" i="18"/>
  <c r="L51" i="18"/>
  <c r="AL51" i="18" s="1"/>
  <c r="J51" i="18"/>
  <c r="A51" i="18"/>
  <c r="AA50" i="18"/>
  <c r="U50" i="18"/>
  <c r="O50" i="18"/>
  <c r="N50" i="18"/>
  <c r="M50" i="18"/>
  <c r="L50" i="18"/>
  <c r="AL50" i="18" s="1"/>
  <c r="J50" i="18"/>
  <c r="A50" i="18"/>
  <c r="AA49" i="18"/>
  <c r="U49" i="18"/>
  <c r="O49" i="18"/>
  <c r="N49" i="18"/>
  <c r="M49" i="18"/>
  <c r="L49" i="18"/>
  <c r="AL49" i="18" s="1"/>
  <c r="J49" i="18"/>
  <c r="A49" i="18"/>
  <c r="AL48" i="18"/>
  <c r="AA48" i="18"/>
  <c r="U48" i="18"/>
  <c r="O48" i="18"/>
  <c r="N48" i="18"/>
  <c r="M48" i="18"/>
  <c r="L48" i="18"/>
  <c r="J48" i="18"/>
  <c r="A48" i="18"/>
  <c r="AA47" i="18"/>
  <c r="U47" i="18"/>
  <c r="O47" i="18"/>
  <c r="N47" i="18"/>
  <c r="M47" i="18"/>
  <c r="L47" i="18"/>
  <c r="J47" i="18"/>
  <c r="A47" i="18"/>
  <c r="U46" i="18"/>
  <c r="AA46" i="18" s="1"/>
  <c r="O46" i="18"/>
  <c r="N46" i="18"/>
  <c r="M46" i="18"/>
  <c r="L46" i="18"/>
  <c r="J46" i="18"/>
  <c r="A46" i="18"/>
  <c r="U45" i="18"/>
  <c r="AA45" i="18" s="1"/>
  <c r="O45" i="18"/>
  <c r="N45" i="18"/>
  <c r="M45" i="18"/>
  <c r="L45" i="18"/>
  <c r="J45" i="18"/>
  <c r="A45" i="18"/>
  <c r="AA44" i="18"/>
  <c r="U44" i="18"/>
  <c r="O44" i="18"/>
  <c r="N44" i="18"/>
  <c r="M44" i="18"/>
  <c r="L44" i="18"/>
  <c r="AL45" i="18" s="1"/>
  <c r="J44" i="18"/>
  <c r="A44" i="18"/>
  <c r="U43" i="18"/>
  <c r="AA43" i="18" s="1"/>
  <c r="O43" i="18"/>
  <c r="N43" i="18"/>
  <c r="M43" i="18"/>
  <c r="L43" i="18"/>
  <c r="AL43" i="18" s="1"/>
  <c r="J43" i="18"/>
  <c r="A43" i="18"/>
  <c r="AA42" i="18"/>
  <c r="U42" i="18"/>
  <c r="O42" i="18"/>
  <c r="N42" i="18"/>
  <c r="M42" i="18"/>
  <c r="L42" i="18"/>
  <c r="J42" i="18"/>
  <c r="A42" i="18"/>
  <c r="U41" i="18"/>
  <c r="AA41" i="18" s="1"/>
  <c r="O41" i="18"/>
  <c r="N41" i="18"/>
  <c r="M41" i="18"/>
  <c r="L41" i="18"/>
  <c r="AL41" i="18" s="1"/>
  <c r="J41" i="18"/>
  <c r="A41" i="18"/>
  <c r="U40" i="18"/>
  <c r="AA40" i="18" s="1"/>
  <c r="O40" i="18"/>
  <c r="N40" i="18"/>
  <c r="M40" i="18"/>
  <c r="L40" i="18"/>
  <c r="AL40" i="18" s="1"/>
  <c r="J40" i="18"/>
  <c r="A40" i="18"/>
  <c r="AA39" i="18"/>
  <c r="U39" i="18"/>
  <c r="O39" i="18"/>
  <c r="N39" i="18"/>
  <c r="M39" i="18"/>
  <c r="L39" i="18"/>
  <c r="AL39" i="18" s="1"/>
  <c r="J39" i="18"/>
  <c r="A39" i="18"/>
  <c r="U38" i="18"/>
  <c r="AA38" i="18" s="1"/>
  <c r="O38" i="18"/>
  <c r="N38" i="18"/>
  <c r="M38" i="18"/>
  <c r="L38" i="18"/>
  <c r="AL38" i="18" s="1"/>
  <c r="J38" i="18"/>
  <c r="A38" i="18"/>
  <c r="AL37" i="18"/>
  <c r="AA37" i="18"/>
  <c r="U37" i="18"/>
  <c r="O37" i="18"/>
  <c r="N37" i="18"/>
  <c r="M37" i="18"/>
  <c r="L37" i="18"/>
  <c r="J37" i="18"/>
  <c r="A37" i="18"/>
  <c r="U36" i="18"/>
  <c r="AA36" i="18" s="1"/>
  <c r="O36" i="18"/>
  <c r="N36" i="18"/>
  <c r="M36" i="18"/>
  <c r="L36" i="18"/>
  <c r="AL36" i="18" s="1"/>
  <c r="J36" i="18"/>
  <c r="A36" i="18"/>
  <c r="U35" i="18"/>
  <c r="AA35" i="18" s="1"/>
  <c r="O35" i="18"/>
  <c r="N35" i="18"/>
  <c r="M35" i="18"/>
  <c r="L35" i="18"/>
  <c r="AL35" i="18" s="1"/>
  <c r="J35" i="18"/>
  <c r="A35" i="18"/>
  <c r="U34" i="18"/>
  <c r="AA34" i="18" s="1"/>
  <c r="O34" i="18"/>
  <c r="N34" i="18"/>
  <c r="M34" i="18"/>
  <c r="L34" i="18"/>
  <c r="J34" i="18"/>
  <c r="A34" i="18"/>
  <c r="U33" i="18"/>
  <c r="AA33" i="18" s="1"/>
  <c r="O33" i="18"/>
  <c r="N33" i="18"/>
  <c r="M33" i="18"/>
  <c r="L33" i="18"/>
  <c r="AL33" i="18" s="1"/>
  <c r="J33" i="18"/>
  <c r="A33" i="18"/>
  <c r="U32" i="18"/>
  <c r="AA32" i="18" s="1"/>
  <c r="S32" i="18"/>
  <c r="Y33" i="18" s="1"/>
  <c r="O32" i="18"/>
  <c r="N32" i="18"/>
  <c r="M32" i="18"/>
  <c r="L32" i="18"/>
  <c r="AL32" i="18" s="1"/>
  <c r="J32" i="18"/>
  <c r="A32" i="18"/>
  <c r="AA31" i="18"/>
  <c r="U31" i="18"/>
  <c r="O31" i="18"/>
  <c r="N31" i="18"/>
  <c r="M31" i="18"/>
  <c r="L31" i="18"/>
  <c r="AL31" i="18" s="1"/>
  <c r="J31" i="18"/>
  <c r="A31" i="18"/>
  <c r="U30" i="18"/>
  <c r="AA30" i="18" s="1"/>
  <c r="O30" i="18"/>
  <c r="N30" i="18"/>
  <c r="M30" i="18"/>
  <c r="L30" i="18"/>
  <c r="AL30" i="18" s="1"/>
  <c r="J30" i="18"/>
  <c r="A30" i="18"/>
  <c r="AL29" i="18"/>
  <c r="U29" i="18"/>
  <c r="AA29" i="18" s="1"/>
  <c r="O29" i="18"/>
  <c r="N29" i="18"/>
  <c r="M29" i="18"/>
  <c r="L29" i="18"/>
  <c r="J29" i="18"/>
  <c r="A29" i="18"/>
  <c r="U28" i="18"/>
  <c r="AA28" i="18" s="1"/>
  <c r="O28" i="18"/>
  <c r="N28" i="18"/>
  <c r="M28" i="18"/>
  <c r="L28" i="18"/>
  <c r="J28" i="18"/>
  <c r="A28" i="18"/>
  <c r="U27" i="18"/>
  <c r="AA27" i="18" s="1"/>
  <c r="O27" i="18"/>
  <c r="N27" i="18"/>
  <c r="M27" i="18"/>
  <c r="L27" i="18"/>
  <c r="J27" i="18"/>
  <c r="A27" i="18"/>
  <c r="AA26" i="18"/>
  <c r="U26" i="18"/>
  <c r="O26" i="18"/>
  <c r="N26" i="18"/>
  <c r="M26" i="18"/>
  <c r="L26" i="18"/>
  <c r="AL26" i="18" s="1"/>
  <c r="J26" i="18"/>
  <c r="A26" i="18"/>
  <c r="U25" i="18"/>
  <c r="AA25" i="18" s="1"/>
  <c r="O25" i="18"/>
  <c r="N25" i="18"/>
  <c r="M25" i="18"/>
  <c r="L25" i="18"/>
  <c r="J25" i="18"/>
  <c r="P25" i="18" s="1"/>
  <c r="A25" i="18"/>
  <c r="U24" i="18"/>
  <c r="AA24" i="18" s="1"/>
  <c r="O24" i="18"/>
  <c r="N24" i="18"/>
  <c r="M24" i="18"/>
  <c r="L24" i="18"/>
  <c r="J24" i="18"/>
  <c r="A24" i="18"/>
  <c r="AA23" i="18"/>
  <c r="U23" i="18"/>
  <c r="O23" i="18"/>
  <c r="N23" i="18"/>
  <c r="M23" i="18"/>
  <c r="L23" i="18"/>
  <c r="J23" i="18"/>
  <c r="A23" i="18"/>
  <c r="AL22" i="18"/>
  <c r="AA22" i="18"/>
  <c r="U22" i="18"/>
  <c r="O22" i="18"/>
  <c r="N22" i="18"/>
  <c r="M22" i="18"/>
  <c r="L22" i="18"/>
  <c r="J22" i="18"/>
  <c r="P22" i="18" s="1"/>
  <c r="A22" i="18"/>
  <c r="AA21" i="18"/>
  <c r="U21" i="18"/>
  <c r="O21" i="18"/>
  <c r="N21" i="18"/>
  <c r="M21" i="18"/>
  <c r="L21" i="18"/>
  <c r="AL21" i="18" s="1"/>
  <c r="J21" i="18"/>
  <c r="A21" i="18"/>
  <c r="AA20" i="18"/>
  <c r="U20" i="18"/>
  <c r="S20" i="18"/>
  <c r="O20" i="18"/>
  <c r="N20" i="18"/>
  <c r="M20" i="18"/>
  <c r="L20" i="18"/>
  <c r="AL20" i="18" s="1"/>
  <c r="J20" i="18"/>
  <c r="A20" i="18"/>
  <c r="U19" i="18"/>
  <c r="AA19" i="18" s="1"/>
  <c r="O19" i="18"/>
  <c r="N19" i="18"/>
  <c r="M19" i="18"/>
  <c r="L19" i="18"/>
  <c r="AL19" i="18" s="1"/>
  <c r="J19" i="18"/>
  <c r="P19" i="18" s="1"/>
  <c r="A19" i="18"/>
  <c r="U18" i="18"/>
  <c r="AA18" i="18" s="1"/>
  <c r="O18" i="18"/>
  <c r="N18" i="18"/>
  <c r="M18" i="18"/>
  <c r="L18" i="18"/>
  <c r="AL18" i="18" s="1"/>
  <c r="J18" i="18"/>
  <c r="P18" i="18" s="1"/>
  <c r="A18" i="18"/>
  <c r="AA17" i="18"/>
  <c r="U17" i="18"/>
  <c r="O17" i="18"/>
  <c r="N17" i="18"/>
  <c r="M17" i="18"/>
  <c r="L17" i="18"/>
  <c r="AL17" i="18" s="1"/>
  <c r="J17" i="18"/>
  <c r="P17" i="18" s="1"/>
  <c r="A17" i="18"/>
  <c r="AA16" i="18"/>
  <c r="U16" i="18"/>
  <c r="O16" i="18"/>
  <c r="N16" i="18"/>
  <c r="M16" i="18"/>
  <c r="L16" i="18"/>
  <c r="AL16" i="18" s="1"/>
  <c r="J16" i="18"/>
  <c r="P16" i="18" s="1"/>
  <c r="A16" i="18"/>
  <c r="U15" i="18"/>
  <c r="AA15" i="18" s="1"/>
  <c r="O15" i="18"/>
  <c r="N15" i="18"/>
  <c r="M15" i="18"/>
  <c r="L15" i="18"/>
  <c r="AL15" i="18" s="1"/>
  <c r="J15" i="18"/>
  <c r="P15" i="18" s="1"/>
  <c r="A15" i="18"/>
  <c r="AA14" i="18"/>
  <c r="U14" i="18"/>
  <c r="O14" i="18"/>
  <c r="N14" i="18"/>
  <c r="M14" i="18"/>
  <c r="L14" i="18"/>
  <c r="AL14" i="18" s="1"/>
  <c r="J14" i="18"/>
  <c r="P14" i="18" s="1"/>
  <c r="A14" i="18"/>
  <c r="U13" i="18"/>
  <c r="AA13" i="18" s="1"/>
  <c r="O13" i="18"/>
  <c r="N13" i="18"/>
  <c r="M13" i="18"/>
  <c r="L13" i="18"/>
  <c r="AL13" i="18" s="1"/>
  <c r="J13" i="18"/>
  <c r="P13" i="18" s="1"/>
  <c r="A13" i="18"/>
  <c r="U12" i="18"/>
  <c r="AA12" i="18" s="1"/>
  <c r="O12" i="18"/>
  <c r="N12" i="18"/>
  <c r="M12" i="18"/>
  <c r="L12" i="18"/>
  <c r="AL12" i="18" s="1"/>
  <c r="J12" i="18"/>
  <c r="P12" i="18" s="1"/>
  <c r="A12" i="18"/>
  <c r="AA11" i="18"/>
  <c r="U11" i="18"/>
  <c r="S11" i="18"/>
  <c r="O11" i="18"/>
  <c r="N11" i="18"/>
  <c r="M11" i="18"/>
  <c r="L11" i="18"/>
  <c r="AL11" i="18" s="1"/>
  <c r="J11" i="18"/>
  <c r="P11" i="18" s="1"/>
  <c r="A11" i="18"/>
  <c r="U10" i="18"/>
  <c r="AA10" i="18" s="1"/>
  <c r="O10" i="18"/>
  <c r="N10" i="18"/>
  <c r="M10" i="18"/>
  <c r="L10" i="18"/>
  <c r="AL10" i="18" s="1"/>
  <c r="J10" i="18"/>
  <c r="P10" i="18" s="1"/>
  <c r="A10" i="18"/>
  <c r="U9" i="18"/>
  <c r="AA9" i="18" s="1"/>
  <c r="O9" i="18"/>
  <c r="N9" i="18"/>
  <c r="M9" i="18"/>
  <c r="L9" i="18"/>
  <c r="AL9" i="18" s="1"/>
  <c r="J9" i="18"/>
  <c r="P9" i="18" s="1"/>
  <c r="A9" i="18"/>
  <c r="U8" i="18"/>
  <c r="AA8" i="18" s="1"/>
  <c r="O8" i="18"/>
  <c r="N8" i="18"/>
  <c r="M8" i="18"/>
  <c r="L8" i="18"/>
  <c r="AL8" i="18" s="1"/>
  <c r="J8" i="18"/>
  <c r="P8" i="18" s="1"/>
  <c r="A8" i="18"/>
  <c r="U7" i="18"/>
  <c r="AA7" i="18" s="1"/>
  <c r="S7" i="18"/>
  <c r="O7" i="18"/>
  <c r="N7" i="18"/>
  <c r="M7" i="18"/>
  <c r="L7" i="18"/>
  <c r="AL7" i="18" s="1"/>
  <c r="J7" i="18"/>
  <c r="P7" i="18" s="1"/>
  <c r="A7" i="18"/>
  <c r="U6" i="18"/>
  <c r="AA6" i="18" s="1"/>
  <c r="O6" i="18"/>
  <c r="N6" i="18"/>
  <c r="M6" i="18"/>
  <c r="L6" i="18"/>
  <c r="AL6" i="18" s="1"/>
  <c r="J6" i="18"/>
  <c r="P6" i="18" s="1"/>
  <c r="A6" i="18"/>
  <c r="AA5" i="18"/>
  <c r="U5" i="18"/>
  <c r="O5" i="18"/>
  <c r="N5" i="18"/>
  <c r="M5" i="18"/>
  <c r="L5" i="18"/>
  <c r="AL5" i="18" s="1"/>
  <c r="J5" i="18"/>
  <c r="P5" i="18" s="1"/>
  <c r="A5" i="18"/>
  <c r="AA4" i="18"/>
  <c r="U4" i="18"/>
  <c r="O4" i="18"/>
  <c r="N4" i="18"/>
  <c r="Y5" i="18" s="1"/>
  <c r="M4" i="18"/>
  <c r="L4" i="18"/>
  <c r="J4" i="18"/>
  <c r="P4" i="18" s="1"/>
  <c r="A4" i="18"/>
  <c r="Y3" i="18"/>
  <c r="AC3" i="18" s="1"/>
  <c r="U3" i="18"/>
  <c r="AA3" i="18" s="1"/>
  <c r="O3" i="18"/>
  <c r="N3" i="18"/>
  <c r="M3" i="18"/>
  <c r="L3" i="18"/>
  <c r="J3" i="18"/>
  <c r="A3" i="18"/>
  <c r="AH2" i="18"/>
  <c r="AA2" i="18"/>
  <c r="U2" i="18"/>
  <c r="O2" i="18"/>
  <c r="N2" i="18"/>
  <c r="M2" i="18"/>
  <c r="L2" i="18"/>
  <c r="AF2" i="18" s="1"/>
  <c r="J2" i="18"/>
  <c r="P2" i="18" s="1"/>
  <c r="AO2" i="18" s="1"/>
  <c r="A2" i="18"/>
  <c r="C63" i="16"/>
  <c r="C62" i="16"/>
  <c r="C61" i="16"/>
  <c r="S53" i="18" s="1"/>
  <c r="C60" i="16"/>
  <c r="S52" i="18" s="1"/>
  <c r="Y53" i="18" s="1"/>
  <c r="C59" i="16"/>
  <c r="S51" i="18" s="1"/>
  <c r="Y52" i="18" s="1"/>
  <c r="C58" i="16"/>
  <c r="S50" i="18" s="1"/>
  <c r="C57" i="16"/>
  <c r="S49" i="18" s="1"/>
  <c r="C56" i="16"/>
  <c r="S48" i="18" s="1"/>
  <c r="C55" i="16"/>
  <c r="S47" i="18" s="1"/>
  <c r="C54" i="16"/>
  <c r="S46" i="18" s="1"/>
  <c r="C53" i="16"/>
  <c r="S45" i="18" s="1"/>
  <c r="Y46" i="18" s="1"/>
  <c r="C52" i="16"/>
  <c r="S44" i="18" s="1"/>
  <c r="C51" i="16"/>
  <c r="S43" i="18" s="1"/>
  <c r="Y44" i="18" s="1"/>
  <c r="C50" i="16"/>
  <c r="S42" i="18" s="1"/>
  <c r="Y43" i="18" s="1"/>
  <c r="C49" i="16"/>
  <c r="S41" i="18" s="1"/>
  <c r="C48" i="16"/>
  <c r="S40" i="18" s="1"/>
  <c r="Y41" i="18" s="1"/>
  <c r="C47" i="16"/>
  <c r="S39" i="18" s="1"/>
  <c r="C46" i="16"/>
  <c r="S38" i="18" s="1"/>
  <c r="Y39" i="18" s="1"/>
  <c r="C45" i="16"/>
  <c r="S37" i="18" s="1"/>
  <c r="C44" i="16"/>
  <c r="S36" i="18" s="1"/>
  <c r="C43" i="16"/>
  <c r="S35" i="18" s="1"/>
  <c r="C42" i="16"/>
  <c r="S34" i="18" s="1"/>
  <c r="C41" i="16"/>
  <c r="S33" i="18" s="1"/>
  <c r="C40" i="16"/>
  <c r="C39" i="16"/>
  <c r="S31" i="18" s="1"/>
  <c r="C38" i="16"/>
  <c r="S30" i="18" s="1"/>
  <c r="C37" i="16"/>
  <c r="S29" i="18" s="1"/>
  <c r="C36" i="16"/>
  <c r="S28" i="18" s="1"/>
  <c r="C35" i="16"/>
  <c r="S27" i="18" s="1"/>
  <c r="Y28" i="18" s="1"/>
  <c r="C34" i="16"/>
  <c r="S26" i="18" s="1"/>
  <c r="C33" i="16"/>
  <c r="S25" i="18" s="1"/>
  <c r="Y26" i="18" s="1"/>
  <c r="C32" i="16"/>
  <c r="S24" i="18" s="1"/>
  <c r="C31" i="16"/>
  <c r="S23" i="18" s="1"/>
  <c r="C30" i="16"/>
  <c r="S22" i="18" s="1"/>
  <c r="C29" i="16"/>
  <c r="S21" i="18" s="1"/>
  <c r="C28" i="16"/>
  <c r="C27" i="16"/>
  <c r="S19" i="18" s="1"/>
  <c r="C26" i="16"/>
  <c r="S18" i="18" s="1"/>
  <c r="C25" i="16"/>
  <c r="S17" i="18" s="1"/>
  <c r="C24" i="16"/>
  <c r="S16" i="18" s="1"/>
  <c r="C23" i="16"/>
  <c r="S15" i="18" s="1"/>
  <c r="C22" i="16"/>
  <c r="S14" i="18" s="1"/>
  <c r="C21" i="16"/>
  <c r="S13" i="18" s="1"/>
  <c r="C20" i="16"/>
  <c r="S12" i="18" s="1"/>
  <c r="C19" i="16"/>
  <c r="C18" i="16"/>
  <c r="S10" i="18" s="1"/>
  <c r="C17" i="16"/>
  <c r="S9" i="18" s="1"/>
  <c r="C16" i="16"/>
  <c r="S8" i="18" s="1"/>
  <c r="C15" i="16"/>
  <c r="C14" i="16"/>
  <c r="S6" i="18" s="1"/>
  <c r="C13" i="16"/>
  <c r="S5" i="18" s="1"/>
  <c r="C12" i="16"/>
  <c r="S4" i="18" s="1"/>
  <c r="C11" i="16"/>
  <c r="S3" i="18" s="1"/>
  <c r="C10" i="16"/>
  <c r="S2" i="18" s="1"/>
  <c r="C9" i="16"/>
  <c r="C8" i="16"/>
  <c r="C7" i="16"/>
  <c r="C6" i="16"/>
  <c r="C5" i="16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AA28" i="14"/>
  <c r="N28" i="14"/>
  <c r="B28" i="14"/>
  <c r="AA27" i="14"/>
  <c r="N27" i="14"/>
  <c r="B27" i="14"/>
  <c r="AA26" i="14"/>
  <c r="N26" i="14"/>
  <c r="B26" i="14"/>
  <c r="AA25" i="14"/>
  <c r="N25" i="14"/>
  <c r="B25" i="14"/>
  <c r="AA24" i="14"/>
  <c r="N24" i="14"/>
  <c r="B24" i="14"/>
  <c r="AA23" i="14"/>
  <c r="N23" i="14"/>
  <c r="B23" i="14"/>
  <c r="AA22" i="14"/>
  <c r="N22" i="14"/>
  <c r="B22" i="14"/>
  <c r="AA21" i="14"/>
  <c r="N21" i="14"/>
  <c r="B21" i="14"/>
  <c r="AA20" i="14"/>
  <c r="N20" i="14"/>
  <c r="B20" i="14"/>
  <c r="AA19" i="14"/>
  <c r="N19" i="14"/>
  <c r="B19" i="14"/>
  <c r="AA18" i="14"/>
  <c r="N18" i="14"/>
  <c r="B18" i="14"/>
  <c r="AA17" i="14"/>
  <c r="N17" i="14"/>
  <c r="B17" i="14"/>
  <c r="AA16" i="14"/>
  <c r="N16" i="14"/>
  <c r="B16" i="14"/>
  <c r="AA15" i="14"/>
  <c r="N15" i="14"/>
  <c r="B15" i="14"/>
  <c r="AA14" i="14"/>
  <c r="N14" i="14"/>
  <c r="B14" i="14"/>
  <c r="AA13" i="14"/>
  <c r="N13" i="14"/>
  <c r="B13" i="14"/>
  <c r="AA12" i="14"/>
  <c r="N12" i="14"/>
  <c r="B12" i="14"/>
  <c r="AA11" i="14"/>
  <c r="N11" i="14"/>
  <c r="B11" i="14"/>
  <c r="AA10" i="14"/>
  <c r="N10" i="14"/>
  <c r="B10" i="14"/>
  <c r="AA9" i="14"/>
  <c r="N9" i="14"/>
  <c r="B9" i="14"/>
  <c r="AA8" i="14"/>
  <c r="N8" i="14"/>
  <c r="B8" i="14"/>
  <c r="AA7" i="14"/>
  <c r="N7" i="14"/>
  <c r="B7" i="14"/>
  <c r="AA6" i="14"/>
  <c r="N6" i="14"/>
  <c r="B6" i="14"/>
  <c r="AA5" i="14"/>
  <c r="N5" i="14"/>
  <c r="B5" i="14"/>
  <c r="AA4" i="14"/>
  <c r="N4" i="14"/>
  <c r="B4" i="14"/>
  <c r="AA3" i="14"/>
  <c r="N3" i="14"/>
  <c r="B3" i="14"/>
  <c r="B2" i="14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I2" i="13"/>
  <c r="B2" i="13"/>
  <c r="C28" i="11"/>
  <c r="C27" i="11"/>
  <c r="B27" i="11"/>
  <c r="B28" i="11" s="1"/>
  <c r="C28" i="6" s="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K2" i="11"/>
  <c r="I2" i="11"/>
  <c r="C2" i="11"/>
  <c r="D28" i="10"/>
  <c r="D27" i="10"/>
  <c r="B27" i="10"/>
  <c r="B28" i="10" s="1"/>
  <c r="D26" i="10"/>
  <c r="T26" i="10" s="1"/>
  <c r="D25" i="10"/>
  <c r="T25" i="10" s="1"/>
  <c r="D24" i="10"/>
  <c r="T24" i="10" s="1"/>
  <c r="D23" i="10"/>
  <c r="T23" i="10" s="1"/>
  <c r="D22" i="10"/>
  <c r="T22" i="10" s="1"/>
  <c r="D21" i="10"/>
  <c r="T21" i="10" s="1"/>
  <c r="D20" i="10"/>
  <c r="T20" i="10" s="1"/>
  <c r="D19" i="10"/>
  <c r="T19" i="10" s="1"/>
  <c r="D18" i="10"/>
  <c r="T18" i="10" s="1"/>
  <c r="D17" i="10"/>
  <c r="T17" i="10" s="1"/>
  <c r="D16" i="10"/>
  <c r="T16" i="10" s="1"/>
  <c r="D15" i="10"/>
  <c r="T15" i="10" s="1"/>
  <c r="D14" i="10"/>
  <c r="T14" i="10" s="1"/>
  <c r="D13" i="10"/>
  <c r="T13" i="10" s="1"/>
  <c r="D12" i="10"/>
  <c r="T12" i="10" s="1"/>
  <c r="D11" i="10"/>
  <c r="T11" i="10" s="1"/>
  <c r="D10" i="10"/>
  <c r="T10" i="10" s="1"/>
  <c r="D9" i="10"/>
  <c r="T9" i="10" s="1"/>
  <c r="D8" i="10"/>
  <c r="T8" i="10" s="1"/>
  <c r="D7" i="10"/>
  <c r="T7" i="10" s="1"/>
  <c r="D6" i="10"/>
  <c r="T6" i="10" s="1"/>
  <c r="D5" i="10"/>
  <c r="T5" i="10" s="1"/>
  <c r="D4" i="10"/>
  <c r="T4" i="10" s="1"/>
  <c r="D3" i="10"/>
  <c r="T3" i="10" s="1"/>
  <c r="T2" i="10"/>
  <c r="D34" i="8"/>
  <c r="K2" i="13" s="1"/>
  <c r="D33" i="8"/>
  <c r="C26" i="6"/>
  <c r="D50" i="18" s="1"/>
  <c r="E50" i="18" s="1"/>
  <c r="C25" i="6"/>
  <c r="D49" i="18" s="1"/>
  <c r="E49" i="18" s="1"/>
  <c r="C24" i="6"/>
  <c r="D48" i="18" s="1"/>
  <c r="C23" i="6"/>
  <c r="D47" i="18" s="1"/>
  <c r="C22" i="6"/>
  <c r="D46" i="18" s="1"/>
  <c r="E46" i="18" s="1"/>
  <c r="C21" i="6"/>
  <c r="D45" i="18" s="1"/>
  <c r="E45" i="18" s="1"/>
  <c r="C20" i="6"/>
  <c r="C19" i="6"/>
  <c r="D43" i="18" s="1"/>
  <c r="E43" i="18" s="1"/>
  <c r="C18" i="6"/>
  <c r="D42" i="18" s="1"/>
  <c r="C17" i="6"/>
  <c r="D41" i="18" s="1"/>
  <c r="E41" i="18" s="1"/>
  <c r="C16" i="6"/>
  <c r="D40" i="18" s="1"/>
  <c r="E40" i="18" s="1"/>
  <c r="C15" i="6"/>
  <c r="D39" i="18" s="1"/>
  <c r="E39" i="18" s="1"/>
  <c r="C14" i="6"/>
  <c r="D38" i="18" s="1"/>
  <c r="E38" i="18" s="1"/>
  <c r="C13" i="6"/>
  <c r="D37" i="18" s="1"/>
  <c r="C12" i="6"/>
  <c r="C11" i="6"/>
  <c r="D35" i="18" s="1"/>
  <c r="E35" i="18" s="1"/>
  <c r="C10" i="6"/>
  <c r="D34" i="18" s="1"/>
  <c r="E34" i="18" s="1"/>
  <c r="C9" i="6"/>
  <c r="D33" i="18" s="1"/>
  <c r="E33" i="18" s="1"/>
  <c r="C8" i="6"/>
  <c r="D32" i="18" s="1"/>
  <c r="E32" i="18" s="1"/>
  <c r="C7" i="6"/>
  <c r="D31" i="18" s="1"/>
  <c r="E31" i="18" s="1"/>
  <c r="C6" i="6"/>
  <c r="D30" i="18" s="1"/>
  <c r="E30" i="18" s="1"/>
  <c r="C5" i="6"/>
  <c r="D29" i="18" s="1"/>
  <c r="C4" i="6"/>
  <c r="D28" i="18" s="1"/>
  <c r="E28" i="18" s="1"/>
  <c r="C3" i="6"/>
  <c r="D27" i="18" s="1"/>
  <c r="E27" i="18" s="1"/>
  <c r="C2" i="6"/>
  <c r="D26" i="18" s="1"/>
  <c r="E26" i="18" s="1"/>
  <c r="C65" i="5"/>
  <c r="C64" i="5"/>
  <c r="C63" i="5"/>
  <c r="C62" i="5"/>
  <c r="C61" i="5"/>
  <c r="C60" i="5"/>
  <c r="O49" i="1" s="1"/>
  <c r="C59" i="5"/>
  <c r="C58" i="5"/>
  <c r="O47" i="1" s="1"/>
  <c r="P47" i="1" s="1"/>
  <c r="C57" i="5"/>
  <c r="C56" i="5"/>
  <c r="C55" i="5"/>
  <c r="C54" i="5"/>
  <c r="C53" i="5"/>
  <c r="C52" i="5"/>
  <c r="O41" i="1" s="1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12" i="4"/>
  <c r="F4" i="4"/>
  <c r="F28" i="4" s="1"/>
  <c r="E4" i="4"/>
  <c r="E20" i="4" s="1"/>
  <c r="C4" i="4"/>
  <c r="C28" i="4" s="1"/>
  <c r="B4" i="4"/>
  <c r="B28" i="4" s="1"/>
  <c r="I3" i="4"/>
  <c r="F5" i="4"/>
  <c r="H24" i="3"/>
  <c r="I24" i="3" s="1"/>
  <c r="J24" i="3" s="1"/>
  <c r="D24" i="3"/>
  <c r="E24" i="3" s="1"/>
  <c r="H23" i="3"/>
  <c r="I23" i="3" s="1"/>
  <c r="J23" i="3" s="1"/>
  <c r="D23" i="3"/>
  <c r="D21" i="3"/>
  <c r="K21" i="3" s="1"/>
  <c r="D20" i="3"/>
  <c r="K20" i="3" s="1"/>
  <c r="H18" i="3"/>
  <c r="I18" i="3" s="1"/>
  <c r="J18" i="3" s="1"/>
  <c r="D18" i="3"/>
  <c r="K18" i="3" s="1"/>
  <c r="H17" i="3"/>
  <c r="I17" i="3" s="1"/>
  <c r="J17" i="3" s="1"/>
  <c r="D17" i="3"/>
  <c r="K17" i="3" s="1"/>
  <c r="H15" i="3"/>
  <c r="I15" i="3" s="1"/>
  <c r="J15" i="3" s="1"/>
  <c r="D15" i="3"/>
  <c r="K15" i="3" s="1"/>
  <c r="H14" i="3"/>
  <c r="I14" i="3" s="1"/>
  <c r="J14" i="3" s="1"/>
  <c r="D14" i="3"/>
  <c r="K14" i="3" s="1"/>
  <c r="H12" i="3"/>
  <c r="I12" i="3" s="1"/>
  <c r="J12" i="3" s="1"/>
  <c r="D12" i="3"/>
  <c r="E12" i="3" s="1"/>
  <c r="H9" i="3"/>
  <c r="I9" i="3" s="1"/>
  <c r="J9" i="3" s="1"/>
  <c r="D9" i="3"/>
  <c r="E9" i="3" s="1"/>
  <c r="G8" i="3"/>
  <c r="H8" i="3" s="1"/>
  <c r="I8" i="3" s="1"/>
  <c r="J8" i="3" s="1"/>
  <c r="D8" i="3"/>
  <c r="E8" i="3" s="1"/>
  <c r="H6" i="3"/>
  <c r="I6" i="3" s="1"/>
  <c r="J6" i="3" s="1"/>
  <c r="D6" i="3"/>
  <c r="E6" i="3" s="1"/>
  <c r="H3" i="3"/>
  <c r="I3" i="3" s="1"/>
  <c r="J3" i="3" s="1"/>
  <c r="I11" i="2"/>
  <c r="AH9" i="2"/>
  <c r="M9" i="2"/>
  <c r="H9" i="2"/>
  <c r="D9" i="2"/>
  <c r="F9" i="2" s="1"/>
  <c r="B9" i="2"/>
  <c r="AD9" i="2" s="1"/>
  <c r="A9" i="2"/>
  <c r="AH8" i="2"/>
  <c r="M8" i="2"/>
  <c r="H8" i="2"/>
  <c r="I9" i="2" s="1"/>
  <c r="D8" i="2"/>
  <c r="F8" i="2" s="1"/>
  <c r="B8" i="2"/>
  <c r="AD8" i="2" s="1"/>
  <c r="AH7" i="2"/>
  <c r="M7" i="2"/>
  <c r="I7" i="2"/>
  <c r="H7" i="2"/>
  <c r="I8" i="2" s="1"/>
  <c r="B7" i="2"/>
  <c r="AD7" i="2" s="1"/>
  <c r="AH6" i="2"/>
  <c r="M6" i="2"/>
  <c r="K6" i="2"/>
  <c r="I6" i="2"/>
  <c r="H6" i="2"/>
  <c r="B6" i="2"/>
  <c r="AD6" i="2" s="1"/>
  <c r="A6" i="2"/>
  <c r="AH5" i="2"/>
  <c r="M5" i="2"/>
  <c r="H5" i="2"/>
  <c r="D5" i="2"/>
  <c r="F5" i="2" s="1"/>
  <c r="B5" i="2"/>
  <c r="AD5" i="2" s="1"/>
  <c r="AH4" i="2"/>
  <c r="AD4" i="2"/>
  <c r="H4" i="2"/>
  <c r="I5" i="2" s="1"/>
  <c r="D4" i="2"/>
  <c r="F4" i="2" s="1"/>
  <c r="AD3" i="2"/>
  <c r="J3" i="2"/>
  <c r="H3" i="2"/>
  <c r="I4" i="2" s="1"/>
  <c r="AD2" i="2"/>
  <c r="H2" i="2"/>
  <c r="I3" i="2" s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Y53" i="1"/>
  <c r="V53" i="1"/>
  <c r="AF53" i="1" s="1"/>
  <c r="AI53" i="1" s="1"/>
  <c r="U53" i="1"/>
  <c r="Q53" i="1"/>
  <c r="O53" i="1"/>
  <c r="P53" i="1" s="1"/>
  <c r="N53" i="1"/>
  <c r="M53" i="1"/>
  <c r="L53" i="1"/>
  <c r="K53" i="1"/>
  <c r="J53" i="1"/>
  <c r="R53" i="1" s="1"/>
  <c r="E53" i="1"/>
  <c r="A53" i="1"/>
  <c r="Y52" i="1"/>
  <c r="Z52" i="1" s="1"/>
  <c r="Z53" i="1" s="1"/>
  <c r="V52" i="1"/>
  <c r="J9" i="2" s="1"/>
  <c r="U52" i="1"/>
  <c r="AB52" i="1" s="1"/>
  <c r="Q52" i="1"/>
  <c r="P52" i="1"/>
  <c r="O52" i="1"/>
  <c r="N52" i="1"/>
  <c r="AC53" i="1" s="1"/>
  <c r="AK53" i="1" s="1"/>
  <c r="M52" i="1"/>
  <c r="L52" i="1"/>
  <c r="J52" i="1"/>
  <c r="A52" i="1"/>
  <c r="V51" i="1"/>
  <c r="AF51" i="1" s="1"/>
  <c r="U51" i="1"/>
  <c r="Q51" i="1"/>
  <c r="O51" i="1"/>
  <c r="P51" i="1" s="1"/>
  <c r="N51" i="1"/>
  <c r="M51" i="1"/>
  <c r="L51" i="1"/>
  <c r="J51" i="1"/>
  <c r="A51" i="1"/>
  <c r="AC50" i="1"/>
  <c r="AI50" i="1" s="1"/>
  <c r="V50" i="1"/>
  <c r="AF50" i="1" s="1"/>
  <c r="U50" i="1"/>
  <c r="Q50" i="1"/>
  <c r="O50" i="1"/>
  <c r="P50" i="1" s="1"/>
  <c r="N50" i="1"/>
  <c r="M50" i="1"/>
  <c r="L50" i="1"/>
  <c r="J50" i="1"/>
  <c r="A50" i="1"/>
  <c r="Y49" i="1"/>
  <c r="V49" i="1"/>
  <c r="AF49" i="1" s="1"/>
  <c r="U49" i="1"/>
  <c r="Q49" i="1"/>
  <c r="P49" i="1"/>
  <c r="N49" i="1"/>
  <c r="M49" i="1"/>
  <c r="L49" i="1"/>
  <c r="J49" i="1"/>
  <c r="D49" i="1"/>
  <c r="E49" i="1" s="1"/>
  <c r="A49" i="1"/>
  <c r="V48" i="1"/>
  <c r="J8" i="2" s="1"/>
  <c r="U48" i="1"/>
  <c r="Q48" i="1"/>
  <c r="O48" i="1"/>
  <c r="N48" i="1"/>
  <c r="M48" i="1"/>
  <c r="L48" i="1"/>
  <c r="J48" i="1"/>
  <c r="D48" i="1"/>
  <c r="E48" i="1" s="1"/>
  <c r="A48" i="1"/>
  <c r="A8" i="2" s="1"/>
  <c r="V47" i="1"/>
  <c r="AF47" i="1" s="1"/>
  <c r="U47" i="1"/>
  <c r="Q47" i="1"/>
  <c r="N47" i="1"/>
  <c r="Y47" i="1" s="1"/>
  <c r="M47" i="1"/>
  <c r="L47" i="1"/>
  <c r="J47" i="1"/>
  <c r="A47" i="1"/>
  <c r="Y46" i="1"/>
  <c r="V46" i="1"/>
  <c r="AF46" i="1" s="1"/>
  <c r="U46" i="1"/>
  <c r="Q46" i="1"/>
  <c r="O46" i="1"/>
  <c r="P46" i="1" s="1"/>
  <c r="N46" i="1"/>
  <c r="AC47" i="1" s="1"/>
  <c r="M46" i="1"/>
  <c r="L46" i="1"/>
  <c r="J46" i="1"/>
  <c r="A46" i="1"/>
  <c r="V45" i="1"/>
  <c r="AF45" i="1" s="1"/>
  <c r="U45" i="1"/>
  <c r="Q45" i="1"/>
  <c r="O45" i="1"/>
  <c r="N45" i="1"/>
  <c r="M45" i="1"/>
  <c r="L45" i="1"/>
  <c r="J45" i="1"/>
  <c r="D45" i="1"/>
  <c r="E45" i="1" s="1"/>
  <c r="A45" i="1"/>
  <c r="AC44" i="1"/>
  <c r="AI44" i="1" s="1"/>
  <c r="Y44" i="1"/>
  <c r="V44" i="1"/>
  <c r="AF44" i="1" s="1"/>
  <c r="U44" i="1"/>
  <c r="AC45" i="1" s="1"/>
  <c r="Q44" i="1"/>
  <c r="P44" i="1"/>
  <c r="O44" i="1"/>
  <c r="N44" i="1"/>
  <c r="M44" i="1"/>
  <c r="L44" i="1"/>
  <c r="J44" i="1"/>
  <c r="A44" i="1"/>
  <c r="AF43" i="1"/>
  <c r="AB43" i="1"/>
  <c r="V43" i="1"/>
  <c r="J7" i="2" s="1"/>
  <c r="U43" i="1"/>
  <c r="Q43" i="1"/>
  <c r="P43" i="1"/>
  <c r="O43" i="1"/>
  <c r="N43" i="1"/>
  <c r="D7" i="2" s="1"/>
  <c r="F7" i="2" s="1"/>
  <c r="M43" i="1"/>
  <c r="L43" i="1"/>
  <c r="J43" i="1"/>
  <c r="D43" i="1"/>
  <c r="E43" i="1" s="1"/>
  <c r="A43" i="1"/>
  <c r="A7" i="2" s="1"/>
  <c r="AK42" i="1"/>
  <c r="AE42" i="1"/>
  <c r="AC42" i="1"/>
  <c r="V42" i="1"/>
  <c r="AF42" i="1" s="1"/>
  <c r="AI42" i="1" s="1"/>
  <c r="U42" i="1"/>
  <c r="Q42" i="1"/>
  <c r="O42" i="1"/>
  <c r="P42" i="1" s="1"/>
  <c r="N42" i="1"/>
  <c r="M42" i="1"/>
  <c r="L42" i="1"/>
  <c r="J42" i="1"/>
  <c r="A42" i="1"/>
  <c r="AB41" i="1"/>
  <c r="V41" i="1"/>
  <c r="AF41" i="1" s="1"/>
  <c r="U41" i="1"/>
  <c r="Q41" i="1"/>
  <c r="P41" i="1"/>
  <c r="N41" i="1"/>
  <c r="M41" i="1"/>
  <c r="L41" i="1"/>
  <c r="J41" i="1"/>
  <c r="D41" i="1"/>
  <c r="E41" i="1" s="1"/>
  <c r="A41" i="1"/>
  <c r="AC40" i="1"/>
  <c r="AK40" i="1" s="1"/>
  <c r="Y40" i="1"/>
  <c r="V40" i="1"/>
  <c r="AF40" i="1" s="1"/>
  <c r="U40" i="1"/>
  <c r="Q40" i="1"/>
  <c r="O40" i="1"/>
  <c r="P40" i="1" s="1"/>
  <c r="N40" i="1"/>
  <c r="M40" i="1"/>
  <c r="L40" i="1"/>
  <c r="J40" i="1"/>
  <c r="D40" i="1"/>
  <c r="E40" i="1" s="1"/>
  <c r="A40" i="1"/>
  <c r="Z39" i="1"/>
  <c r="V39" i="1"/>
  <c r="AF39" i="1" s="1"/>
  <c r="U39" i="1"/>
  <c r="Q39" i="1"/>
  <c r="O39" i="1"/>
  <c r="N39" i="1"/>
  <c r="Y39" i="1" s="1"/>
  <c r="M39" i="1"/>
  <c r="L39" i="1"/>
  <c r="J39" i="1"/>
  <c r="A39" i="1"/>
  <c r="Y38" i="1"/>
  <c r="Z38" i="1" s="1"/>
  <c r="V38" i="1"/>
  <c r="J5" i="2" s="1"/>
  <c r="U38" i="1"/>
  <c r="Q38" i="1"/>
  <c r="O38" i="1"/>
  <c r="N38" i="1"/>
  <c r="M38" i="1"/>
  <c r="L38" i="1"/>
  <c r="J38" i="1"/>
  <c r="A38" i="1"/>
  <c r="A5" i="2" s="1"/>
  <c r="V37" i="1"/>
  <c r="AF37" i="1" s="1"/>
  <c r="U37" i="1"/>
  <c r="AB37" i="1" s="1"/>
  <c r="AE37" i="1" s="1"/>
  <c r="Q37" i="1"/>
  <c r="O37" i="1"/>
  <c r="N37" i="1"/>
  <c r="M37" i="1"/>
  <c r="L37" i="1"/>
  <c r="J37" i="1"/>
  <c r="A37" i="1"/>
  <c r="AC36" i="1"/>
  <c r="AK36" i="1" s="1"/>
  <c r="Y36" i="1"/>
  <c r="V36" i="1"/>
  <c r="AF36" i="1" s="1"/>
  <c r="U36" i="1"/>
  <c r="Q36" i="1"/>
  <c r="O36" i="1"/>
  <c r="P36" i="1" s="1"/>
  <c r="N36" i="1"/>
  <c r="AC37" i="1" s="1"/>
  <c r="M36" i="1"/>
  <c r="L36" i="1"/>
  <c r="J36" i="1"/>
  <c r="A36" i="1"/>
  <c r="V35" i="1"/>
  <c r="AF35" i="1" s="1"/>
  <c r="U35" i="1"/>
  <c r="Q35" i="1"/>
  <c r="P35" i="1"/>
  <c r="O35" i="1"/>
  <c r="N35" i="1"/>
  <c r="M35" i="1"/>
  <c r="L35" i="1"/>
  <c r="J35" i="1"/>
  <c r="D35" i="1"/>
  <c r="E35" i="1" s="1"/>
  <c r="A35" i="1"/>
  <c r="Y34" i="1"/>
  <c r="Z34" i="1" s="1"/>
  <c r="Z35" i="1" s="1"/>
  <c r="V34" i="1"/>
  <c r="J4" i="2" s="1"/>
  <c r="U34" i="1"/>
  <c r="Q34" i="1"/>
  <c r="O34" i="1"/>
  <c r="N34" i="1"/>
  <c r="AC35" i="1" s="1"/>
  <c r="M34" i="1"/>
  <c r="L34" i="1"/>
  <c r="J34" i="1"/>
  <c r="A34" i="1"/>
  <c r="V33" i="1"/>
  <c r="AF33" i="1" s="1"/>
  <c r="U33" i="1"/>
  <c r="Q33" i="1"/>
  <c r="O33" i="1"/>
  <c r="N33" i="1"/>
  <c r="M33" i="1"/>
  <c r="L33" i="1"/>
  <c r="AB33" i="1" s="1"/>
  <c r="AE33" i="1" s="1"/>
  <c r="J33" i="1"/>
  <c r="D33" i="1"/>
  <c r="E33" i="1" s="1"/>
  <c r="A33" i="1"/>
  <c r="Y32" i="1"/>
  <c r="V32" i="1"/>
  <c r="AF32" i="1" s="1"/>
  <c r="U32" i="1"/>
  <c r="Q32" i="1"/>
  <c r="O32" i="1"/>
  <c r="P32" i="1" s="1"/>
  <c r="N32" i="1"/>
  <c r="AC33" i="1" s="1"/>
  <c r="M32" i="1"/>
  <c r="L32" i="1"/>
  <c r="J32" i="1"/>
  <c r="D32" i="1"/>
  <c r="E32" i="1" s="1"/>
  <c r="A32" i="1"/>
  <c r="V31" i="1"/>
  <c r="AF31" i="1" s="1"/>
  <c r="U31" i="1"/>
  <c r="Q31" i="1"/>
  <c r="O31" i="1"/>
  <c r="P31" i="1" s="1"/>
  <c r="N31" i="1"/>
  <c r="Y31" i="1" s="1"/>
  <c r="M31" i="1"/>
  <c r="L31" i="1"/>
  <c r="J31" i="1"/>
  <c r="A31" i="1"/>
  <c r="AC30" i="1"/>
  <c r="Y30" i="1"/>
  <c r="V30" i="1"/>
  <c r="AF30" i="1" s="1"/>
  <c r="U30" i="1"/>
  <c r="Q30" i="1"/>
  <c r="O30" i="1"/>
  <c r="P30" i="1" s="1"/>
  <c r="N30" i="1"/>
  <c r="AC31" i="1" s="1"/>
  <c r="M30" i="1"/>
  <c r="L30" i="1"/>
  <c r="J30" i="1"/>
  <c r="A30" i="1"/>
  <c r="AB29" i="1"/>
  <c r="P2" i="2" s="1"/>
  <c r="V29" i="1"/>
  <c r="J2" i="2" s="1"/>
  <c r="U29" i="1"/>
  <c r="Q29" i="1"/>
  <c r="P29" i="1"/>
  <c r="O29" i="1"/>
  <c r="N29" i="1"/>
  <c r="M29" i="1"/>
  <c r="L29" i="1"/>
  <c r="Y29" i="1" s="1"/>
  <c r="Z29" i="1" s="1"/>
  <c r="J29" i="1"/>
  <c r="D29" i="1"/>
  <c r="E29" i="1" s="1"/>
  <c r="A29" i="1"/>
  <c r="V28" i="1"/>
  <c r="AF28" i="1" s="1"/>
  <c r="U28" i="1"/>
  <c r="AC29" i="1" s="1"/>
  <c r="Q28" i="1"/>
  <c r="O28" i="1"/>
  <c r="P28" i="1" s="1"/>
  <c r="N28" i="1"/>
  <c r="M28" i="1"/>
  <c r="L28" i="1"/>
  <c r="J28" i="1"/>
  <c r="A28" i="1"/>
  <c r="V27" i="1"/>
  <c r="AF27" i="1" s="1"/>
  <c r="U27" i="1"/>
  <c r="Q27" i="1"/>
  <c r="O27" i="1"/>
  <c r="N27" i="1"/>
  <c r="Y27" i="1" s="1"/>
  <c r="M27" i="1"/>
  <c r="L27" i="1"/>
  <c r="J27" i="1"/>
  <c r="A27" i="1"/>
  <c r="Y26" i="1"/>
  <c r="V26" i="1"/>
  <c r="AF26" i="1" s="1"/>
  <c r="U26" i="1"/>
  <c r="Q26" i="1"/>
  <c r="AC27" i="1" s="1"/>
  <c r="O26" i="1"/>
  <c r="P26" i="1" s="1"/>
  <c r="N26" i="1"/>
  <c r="M26" i="1"/>
  <c r="L26" i="1"/>
  <c r="J26" i="1"/>
  <c r="A26" i="1"/>
  <c r="Y25" i="1"/>
  <c r="Z25" i="1" s="1"/>
  <c r="V25" i="1"/>
  <c r="AF25" i="1" s="1"/>
  <c r="U25" i="1"/>
  <c r="Q25" i="1"/>
  <c r="O25" i="1"/>
  <c r="AB25" i="1" s="1"/>
  <c r="N25" i="1"/>
  <c r="AC26" i="1" s="1"/>
  <c r="M25" i="1"/>
  <c r="L25" i="1"/>
  <c r="J25" i="1"/>
  <c r="R25" i="1" s="1"/>
  <c r="A25" i="1"/>
  <c r="V24" i="1"/>
  <c r="AF24" i="1" s="1"/>
  <c r="U24" i="1"/>
  <c r="Q24" i="1"/>
  <c r="O24" i="1"/>
  <c r="P24" i="1" s="1"/>
  <c r="N24" i="1"/>
  <c r="AC25" i="1" s="1"/>
  <c r="M24" i="1"/>
  <c r="L24" i="1"/>
  <c r="Y24" i="1" s="1"/>
  <c r="J24" i="1"/>
  <c r="R24" i="1" s="1"/>
  <c r="A24" i="1"/>
  <c r="Y23" i="1"/>
  <c r="V23" i="1"/>
  <c r="AF23" i="1" s="1"/>
  <c r="U23" i="1"/>
  <c r="AC24" i="1" s="1"/>
  <c r="Q23" i="1"/>
  <c r="O23" i="1"/>
  <c r="P23" i="1" s="1"/>
  <c r="N23" i="1"/>
  <c r="M23" i="1"/>
  <c r="L23" i="1"/>
  <c r="J23" i="1"/>
  <c r="R23" i="1" s="1"/>
  <c r="A23" i="1"/>
  <c r="V22" i="1"/>
  <c r="AF22" i="1" s="1"/>
  <c r="U22" i="1"/>
  <c r="Q22" i="1"/>
  <c r="O22" i="1"/>
  <c r="P22" i="1" s="1"/>
  <c r="N22" i="1"/>
  <c r="AC23" i="1" s="1"/>
  <c r="M22" i="1"/>
  <c r="L22" i="1"/>
  <c r="J22" i="1"/>
  <c r="R22" i="1" s="1"/>
  <c r="A22" i="1"/>
  <c r="Y21" i="1"/>
  <c r="V21" i="1"/>
  <c r="AF21" i="1" s="1"/>
  <c r="U21" i="1"/>
  <c r="Q21" i="1"/>
  <c r="O21" i="1"/>
  <c r="P21" i="1" s="1"/>
  <c r="N21" i="1"/>
  <c r="M21" i="1"/>
  <c r="L21" i="1"/>
  <c r="J21" i="1"/>
  <c r="R21" i="1" s="1"/>
  <c r="A21" i="1"/>
  <c r="V20" i="1"/>
  <c r="AF20" i="1" s="1"/>
  <c r="U20" i="1"/>
  <c r="Q20" i="1"/>
  <c r="O20" i="1"/>
  <c r="AB20" i="1" s="1"/>
  <c r="N20" i="1"/>
  <c r="AC21" i="1" s="1"/>
  <c r="M20" i="1"/>
  <c r="L20" i="1"/>
  <c r="J20" i="1"/>
  <c r="R20" i="1" s="1"/>
  <c r="A20" i="1"/>
  <c r="Y19" i="1"/>
  <c r="V19" i="1"/>
  <c r="AF19" i="1" s="1"/>
  <c r="U19" i="1"/>
  <c r="Q19" i="1"/>
  <c r="O19" i="1"/>
  <c r="P19" i="1" s="1"/>
  <c r="N19" i="1"/>
  <c r="M19" i="1"/>
  <c r="L19" i="1"/>
  <c r="J19" i="1"/>
  <c r="R19" i="1" s="1"/>
  <c r="A19" i="1"/>
  <c r="Y18" i="1"/>
  <c r="V18" i="1"/>
  <c r="AF18" i="1" s="1"/>
  <c r="U18" i="1"/>
  <c r="Q18" i="1"/>
  <c r="O18" i="1"/>
  <c r="P18" i="1" s="1"/>
  <c r="N18" i="1"/>
  <c r="AC19" i="1" s="1"/>
  <c r="M18" i="1"/>
  <c r="L18" i="1"/>
  <c r="J18" i="1"/>
  <c r="R18" i="1" s="1"/>
  <c r="A18" i="1"/>
  <c r="Y17" i="1"/>
  <c r="Z17" i="1" s="1"/>
  <c r="V17" i="1"/>
  <c r="AF17" i="1" s="1"/>
  <c r="U17" i="1"/>
  <c r="Q17" i="1"/>
  <c r="O17" i="1"/>
  <c r="AB17" i="1" s="1"/>
  <c r="N17" i="1"/>
  <c r="M17" i="1"/>
  <c r="L17" i="1"/>
  <c r="J17" i="1"/>
  <c r="R17" i="1" s="1"/>
  <c r="A17" i="1"/>
  <c r="V16" i="1"/>
  <c r="AF16" i="1" s="1"/>
  <c r="U16" i="1"/>
  <c r="Q16" i="1"/>
  <c r="O16" i="1"/>
  <c r="P16" i="1" s="1"/>
  <c r="N16" i="1"/>
  <c r="AC17" i="1" s="1"/>
  <c r="M16" i="1"/>
  <c r="L16" i="1"/>
  <c r="J16" i="1"/>
  <c r="R16" i="1" s="1"/>
  <c r="A16" i="1"/>
  <c r="Y15" i="1"/>
  <c r="V15" i="1"/>
  <c r="AF15" i="1" s="1"/>
  <c r="U15" i="1"/>
  <c r="AC16" i="1" s="1"/>
  <c r="Q15" i="1"/>
  <c r="O15" i="1"/>
  <c r="P15" i="1" s="1"/>
  <c r="N15" i="1"/>
  <c r="M15" i="1"/>
  <c r="L15" i="1"/>
  <c r="J15" i="1"/>
  <c r="R15" i="1" s="1"/>
  <c r="A15" i="1"/>
  <c r="V14" i="1"/>
  <c r="AF14" i="1" s="1"/>
  <c r="U14" i="1"/>
  <c r="Q14" i="1"/>
  <c r="O14" i="1"/>
  <c r="P14" i="1" s="1"/>
  <c r="N14" i="1"/>
  <c r="AC15" i="1" s="1"/>
  <c r="M14" i="1"/>
  <c r="L14" i="1"/>
  <c r="J14" i="1"/>
  <c r="R14" i="1" s="1"/>
  <c r="A14" i="1"/>
  <c r="Y13" i="1"/>
  <c r="Z13" i="1" s="1"/>
  <c r="V13" i="1"/>
  <c r="AF13" i="1" s="1"/>
  <c r="U13" i="1"/>
  <c r="Q13" i="1"/>
  <c r="O13" i="1"/>
  <c r="AB13" i="1" s="1"/>
  <c r="N13" i="1"/>
  <c r="M13" i="1"/>
  <c r="L13" i="1"/>
  <c r="J13" i="1"/>
  <c r="R13" i="1" s="1"/>
  <c r="A13" i="1"/>
  <c r="Y12" i="1"/>
  <c r="Z12" i="1" s="1"/>
  <c r="V12" i="1"/>
  <c r="AF12" i="1" s="1"/>
  <c r="U12" i="1"/>
  <c r="Q12" i="1"/>
  <c r="O12" i="1"/>
  <c r="AB12" i="1" s="1"/>
  <c r="AE12" i="1" s="1"/>
  <c r="N12" i="1"/>
  <c r="AC13" i="1" s="1"/>
  <c r="M12" i="1"/>
  <c r="L12" i="1"/>
  <c r="J12" i="1"/>
  <c r="R12" i="1" s="1"/>
  <c r="A12" i="1"/>
  <c r="Y11" i="1"/>
  <c r="V11" i="1"/>
  <c r="AF11" i="1" s="1"/>
  <c r="U11" i="1"/>
  <c r="AC12" i="1" s="1"/>
  <c r="Q11" i="1"/>
  <c r="O11" i="1"/>
  <c r="P11" i="1" s="1"/>
  <c r="N11" i="1"/>
  <c r="M11" i="1"/>
  <c r="L11" i="1"/>
  <c r="J11" i="1"/>
  <c r="R11" i="1" s="1"/>
  <c r="A11" i="1"/>
  <c r="Y10" i="1"/>
  <c r="V10" i="1"/>
  <c r="AF10" i="1" s="1"/>
  <c r="U10" i="1"/>
  <c r="Q10" i="1"/>
  <c r="O10" i="1"/>
  <c r="P10" i="1" s="1"/>
  <c r="N10" i="1"/>
  <c r="AC11" i="1" s="1"/>
  <c r="M10" i="1"/>
  <c r="L10" i="1"/>
  <c r="J10" i="1"/>
  <c r="R10" i="1" s="1"/>
  <c r="A10" i="1"/>
  <c r="Y9" i="1"/>
  <c r="V9" i="1"/>
  <c r="AF9" i="1" s="1"/>
  <c r="U9" i="1"/>
  <c r="AC10" i="1" s="1"/>
  <c r="Q9" i="1"/>
  <c r="O9" i="1"/>
  <c r="P9" i="1" s="1"/>
  <c r="N9" i="1"/>
  <c r="M9" i="1"/>
  <c r="L9" i="1"/>
  <c r="J9" i="1"/>
  <c r="R9" i="1" s="1"/>
  <c r="A9" i="1"/>
  <c r="Y8" i="1"/>
  <c r="Z8" i="1" s="1"/>
  <c r="V8" i="1"/>
  <c r="AF8" i="1" s="1"/>
  <c r="U8" i="1"/>
  <c r="Q8" i="1"/>
  <c r="O8" i="1"/>
  <c r="AB8" i="1" s="1"/>
  <c r="N8" i="1"/>
  <c r="AC9" i="1" s="1"/>
  <c r="M8" i="1"/>
  <c r="L8" i="1"/>
  <c r="J8" i="1"/>
  <c r="R8" i="1" s="1"/>
  <c r="A8" i="1"/>
  <c r="Y7" i="1"/>
  <c r="V7" i="1"/>
  <c r="AF7" i="1" s="1"/>
  <c r="U7" i="1"/>
  <c r="AC8" i="1" s="1"/>
  <c r="Q7" i="1"/>
  <c r="O7" i="1"/>
  <c r="P7" i="1" s="1"/>
  <c r="N7" i="1"/>
  <c r="M7" i="1"/>
  <c r="L7" i="1"/>
  <c r="J7" i="1"/>
  <c r="R7" i="1" s="1"/>
  <c r="A7" i="1"/>
  <c r="Y6" i="1"/>
  <c r="V6" i="1"/>
  <c r="AF6" i="1" s="1"/>
  <c r="U6" i="1"/>
  <c r="Q6" i="1"/>
  <c r="AC7" i="1" s="1"/>
  <c r="O6" i="1"/>
  <c r="P6" i="1" s="1"/>
  <c r="N6" i="1"/>
  <c r="M6" i="1"/>
  <c r="L6" i="1"/>
  <c r="J6" i="1"/>
  <c r="R6" i="1" s="1"/>
  <c r="A6" i="1"/>
  <c r="Y5" i="1"/>
  <c r="V5" i="1"/>
  <c r="AF5" i="1" s="1"/>
  <c r="U5" i="1"/>
  <c r="AC6" i="1" s="1"/>
  <c r="Q5" i="1"/>
  <c r="O5" i="1"/>
  <c r="P5" i="1" s="1"/>
  <c r="N5" i="1"/>
  <c r="M5" i="1"/>
  <c r="L5" i="1"/>
  <c r="J5" i="1"/>
  <c r="R5" i="1" s="1"/>
  <c r="A5" i="1"/>
  <c r="Y4" i="1"/>
  <c r="Z4" i="1" s="1"/>
  <c r="V4" i="1"/>
  <c r="AF4" i="1" s="1"/>
  <c r="U4" i="1"/>
  <c r="Q4" i="1"/>
  <c r="AC5" i="1" s="1"/>
  <c r="O4" i="1"/>
  <c r="AB4" i="1" s="1"/>
  <c r="N4" i="1"/>
  <c r="M4" i="1"/>
  <c r="L4" i="1"/>
  <c r="J4" i="1"/>
  <c r="R4" i="1" s="1"/>
  <c r="A4" i="1"/>
  <c r="Y3" i="1"/>
  <c r="Z3" i="1" s="1"/>
  <c r="V3" i="1"/>
  <c r="AF3" i="1" s="1"/>
  <c r="U3" i="1"/>
  <c r="AC4" i="1" s="1"/>
  <c r="Q3" i="1"/>
  <c r="O3" i="1"/>
  <c r="AB3" i="1" s="1"/>
  <c r="AE3" i="1" s="1"/>
  <c r="N3" i="1"/>
  <c r="M3" i="1"/>
  <c r="L3" i="1"/>
  <c r="J3" i="1"/>
  <c r="R3" i="1" s="1"/>
  <c r="A3" i="1"/>
  <c r="V2" i="1"/>
  <c r="AF2" i="1" s="1"/>
  <c r="U2" i="1"/>
  <c r="Q2" i="1"/>
  <c r="O2" i="1"/>
  <c r="AB2" i="1" s="1"/>
  <c r="AE2" i="1" s="1"/>
  <c r="N2" i="1"/>
  <c r="M2" i="1"/>
  <c r="L2" i="1"/>
  <c r="AO2" i="1" s="1"/>
  <c r="J2" i="1"/>
  <c r="A2" i="1"/>
  <c r="D47" i="1" l="1"/>
  <c r="E47" i="1" s="1"/>
  <c r="R29" i="1"/>
  <c r="R33" i="1"/>
  <c r="D27" i="1"/>
  <c r="E27" i="1" s="1"/>
  <c r="D37" i="1"/>
  <c r="E37" i="1" s="1"/>
  <c r="D28" i="1"/>
  <c r="E28" i="1" s="1"/>
  <c r="D30" i="1"/>
  <c r="E30" i="1" s="1"/>
  <c r="D42" i="1"/>
  <c r="E42" i="1" s="1"/>
  <c r="R35" i="1"/>
  <c r="D38" i="1"/>
  <c r="E38" i="1" s="1"/>
  <c r="R45" i="1"/>
  <c r="R32" i="1"/>
  <c r="R40" i="1"/>
  <c r="R48" i="1"/>
  <c r="R49" i="1"/>
  <c r="D26" i="1"/>
  <c r="E26" i="1" s="1"/>
  <c r="D34" i="1"/>
  <c r="E34" i="1" s="1"/>
  <c r="C27" i="6"/>
  <c r="D46" i="1"/>
  <c r="E46" i="1" s="1"/>
  <c r="D31" i="1"/>
  <c r="E31" i="1" s="1"/>
  <c r="D39" i="1"/>
  <c r="E39" i="1" s="1"/>
  <c r="R41" i="1"/>
  <c r="U22" i="10"/>
  <c r="U10" i="10"/>
  <c r="K34" i="18" s="1"/>
  <c r="U6" i="10"/>
  <c r="K30" i="1" s="1"/>
  <c r="U11" i="10"/>
  <c r="U20" i="10"/>
  <c r="K44" i="18" s="1"/>
  <c r="T28" i="10"/>
  <c r="U25" i="10"/>
  <c r="K49" i="18" s="1"/>
  <c r="U5" i="10"/>
  <c r="K29" i="18" s="1"/>
  <c r="U7" i="10"/>
  <c r="K31" i="18" s="1"/>
  <c r="K46" i="18"/>
  <c r="K46" i="1"/>
  <c r="U8" i="10"/>
  <c r="U15" i="10"/>
  <c r="U23" i="10"/>
  <c r="U16" i="10"/>
  <c r="K40" i="18" s="1"/>
  <c r="U12" i="10"/>
  <c r="K36" i="18" s="1"/>
  <c r="U19" i="10"/>
  <c r="K43" i="18" s="1"/>
  <c r="U17" i="10"/>
  <c r="K41" i="18" s="1"/>
  <c r="U24" i="10"/>
  <c r="K48" i="18" s="1"/>
  <c r="M22" i="3"/>
  <c r="N22" i="3" s="1"/>
  <c r="M5" i="3"/>
  <c r="N5" i="3" s="1"/>
  <c r="M4" i="3"/>
  <c r="N4" i="3" s="1"/>
  <c r="M16" i="3"/>
  <c r="N16" i="3" s="1"/>
  <c r="M10" i="3"/>
  <c r="N10" i="3" s="1"/>
  <c r="M11" i="3"/>
  <c r="N11" i="3" s="1"/>
  <c r="L3" i="3"/>
  <c r="M3" i="3" s="1"/>
  <c r="N3" i="3" s="1"/>
  <c r="E3" i="3"/>
  <c r="K24" i="3"/>
  <c r="L24" i="3" s="1"/>
  <c r="L14" i="3"/>
  <c r="M14" i="3" s="1"/>
  <c r="N14" i="3" s="1"/>
  <c r="L20" i="3"/>
  <c r="M20" i="3" s="1"/>
  <c r="N20" i="3" s="1"/>
  <c r="D70" i="3"/>
  <c r="D69" i="3"/>
  <c r="N2" i="3"/>
  <c r="B6" i="4"/>
  <c r="B22" i="4" s="1"/>
  <c r="L17" i="3"/>
  <c r="E7" i="4" s="1"/>
  <c r="L21" i="3"/>
  <c r="M21" i="3" s="1"/>
  <c r="E21" i="3"/>
  <c r="L15" i="3"/>
  <c r="C7" i="4" s="1"/>
  <c r="K6" i="3"/>
  <c r="L6" i="3" s="1"/>
  <c r="M6" i="3" s="1"/>
  <c r="K9" i="3"/>
  <c r="L9" i="3" s="1"/>
  <c r="M9" i="3" s="1"/>
  <c r="K12" i="3"/>
  <c r="L12" i="3" s="1"/>
  <c r="M12" i="3" s="1"/>
  <c r="AE17" i="1"/>
  <c r="AE18" i="1"/>
  <c r="AB18" i="1"/>
  <c r="AK19" i="1"/>
  <c r="AI19" i="1"/>
  <c r="AG25" i="1"/>
  <c r="Z26" i="1"/>
  <c r="Z14" i="1"/>
  <c r="AG13" i="1"/>
  <c r="AK17" i="1"/>
  <c r="AI17" i="1"/>
  <c r="AB21" i="1"/>
  <c r="AE20" i="1"/>
  <c r="AE21" i="1"/>
  <c r="AK12" i="1"/>
  <c r="AI12" i="1"/>
  <c r="AK9" i="1"/>
  <c r="AI9" i="1"/>
  <c r="AK13" i="1"/>
  <c r="AI13" i="1"/>
  <c r="AK16" i="1"/>
  <c r="AI16" i="1"/>
  <c r="AK8" i="1"/>
  <c r="AI8" i="1"/>
  <c r="AK27" i="1"/>
  <c r="AI27" i="1"/>
  <c r="AG3" i="1"/>
  <c r="AE13" i="1"/>
  <c r="AE14" i="1"/>
  <c r="AB14" i="1"/>
  <c r="AK23" i="1"/>
  <c r="AI23" i="1"/>
  <c r="AK11" i="1"/>
  <c r="AI11" i="1"/>
  <c r="AK15" i="1"/>
  <c r="AI15" i="1"/>
  <c r="AK25" i="1"/>
  <c r="AI25" i="1"/>
  <c r="AI30" i="1"/>
  <c r="AB5" i="1"/>
  <c r="AE5" i="1"/>
  <c r="AE4" i="1"/>
  <c r="AE9" i="1"/>
  <c r="AB9" i="1"/>
  <c r="AE8" i="1"/>
  <c r="Q2" i="2"/>
  <c r="AK29" i="1"/>
  <c r="Y2" i="2" s="1"/>
  <c r="AI6" i="1"/>
  <c r="AK6" i="1"/>
  <c r="AI10" i="1"/>
  <c r="AK10" i="1"/>
  <c r="Z18" i="1"/>
  <c r="AG17" i="1"/>
  <c r="AK24" i="1"/>
  <c r="AI24" i="1"/>
  <c r="AI26" i="1"/>
  <c r="AK26" i="1"/>
  <c r="AI4" i="1"/>
  <c r="AK4" i="1"/>
  <c r="Z36" i="1"/>
  <c r="AG36" i="1" s="1"/>
  <c r="AG35" i="1"/>
  <c r="AK5" i="1"/>
  <c r="AI5" i="1"/>
  <c r="AK3" i="1"/>
  <c r="AI3" i="1"/>
  <c r="AG4" i="1"/>
  <c r="Z5" i="1"/>
  <c r="AG8" i="1"/>
  <c r="Z9" i="1"/>
  <c r="AG12" i="1"/>
  <c r="AK7" i="1"/>
  <c r="AI7" i="1"/>
  <c r="AK21" i="1"/>
  <c r="AI21" i="1"/>
  <c r="AE26" i="1"/>
  <c r="AE25" i="1"/>
  <c r="AB26" i="1"/>
  <c r="Z30" i="1"/>
  <c r="Q3" i="2"/>
  <c r="AK31" i="1"/>
  <c r="Y3" i="2" s="1"/>
  <c r="AI31" i="1"/>
  <c r="AI33" i="1"/>
  <c r="AK33" i="1"/>
  <c r="P7" i="2"/>
  <c r="S7" i="2" s="1"/>
  <c r="AB44" i="1"/>
  <c r="AE43" i="1"/>
  <c r="AK45" i="1"/>
  <c r="AI45" i="1"/>
  <c r="Y2" i="1"/>
  <c r="Z2" i="1" s="1"/>
  <c r="AG2" i="1" s="1"/>
  <c r="P4" i="1"/>
  <c r="P8" i="1"/>
  <c r="P12" i="1"/>
  <c r="P20" i="1"/>
  <c r="Y33" i="1"/>
  <c r="Z33" i="1" s="1"/>
  <c r="AG33" i="1" s="1"/>
  <c r="AC39" i="1"/>
  <c r="Z40" i="1"/>
  <c r="AG40" i="1" s="1"/>
  <c r="AG39" i="1"/>
  <c r="AC43" i="1"/>
  <c r="N7" i="2"/>
  <c r="G6" i="2"/>
  <c r="AF7" i="2"/>
  <c r="AF8" i="2"/>
  <c r="N8" i="2"/>
  <c r="G7" i="2"/>
  <c r="K35" i="18"/>
  <c r="K35" i="1"/>
  <c r="K48" i="1"/>
  <c r="AK30" i="1"/>
  <c r="AC20" i="1"/>
  <c r="AC22" i="1"/>
  <c r="AK47" i="1"/>
  <c r="AI47" i="1"/>
  <c r="AA2" i="1"/>
  <c r="AD2" i="1" s="1"/>
  <c r="AH2" i="1" s="1"/>
  <c r="AJ2" i="1" s="1"/>
  <c r="AL2" i="1"/>
  <c r="AL3" i="1" s="1"/>
  <c r="AL4" i="1" s="1"/>
  <c r="AE29" i="1"/>
  <c r="AC34" i="1"/>
  <c r="AE53" i="1"/>
  <c r="P9" i="2"/>
  <c r="S9" i="2" s="1"/>
  <c r="AB53" i="1"/>
  <c r="AE52" i="1"/>
  <c r="AF4" i="2"/>
  <c r="U3" i="10"/>
  <c r="AC18" i="1"/>
  <c r="AB48" i="1"/>
  <c r="P48" i="1"/>
  <c r="G9" i="2"/>
  <c r="AF9" i="2"/>
  <c r="U21" i="10"/>
  <c r="P2" i="1"/>
  <c r="AM2" i="1"/>
  <c r="AA3" i="1" s="1"/>
  <c r="AD3" i="1" s="1"/>
  <c r="AH3" i="1" s="1"/>
  <c r="AF29" i="1"/>
  <c r="AI29" i="1" s="1"/>
  <c r="D3" i="2"/>
  <c r="F3" i="2" s="1"/>
  <c r="G3" i="2" s="1"/>
  <c r="K3" i="2"/>
  <c r="P33" i="1"/>
  <c r="AK35" i="1"/>
  <c r="AI35" i="1"/>
  <c r="AK37" i="1"/>
  <c r="AI37" i="1"/>
  <c r="AE44" i="1"/>
  <c r="AC52" i="1"/>
  <c r="D36" i="18"/>
  <c r="E36" i="18" s="1"/>
  <c r="D36" i="1"/>
  <c r="E36" i="1" s="1"/>
  <c r="D44" i="18"/>
  <c r="E44" i="18" s="1"/>
  <c r="D44" i="1"/>
  <c r="E44" i="1" s="1"/>
  <c r="D52" i="18"/>
  <c r="E52" i="18" s="1"/>
  <c r="D52" i="1"/>
  <c r="E52" i="1" s="1"/>
  <c r="U4" i="10"/>
  <c r="U13" i="10"/>
  <c r="U26" i="10"/>
  <c r="S2" i="2"/>
  <c r="T2" i="2" s="1"/>
  <c r="AC14" i="1"/>
  <c r="P27" i="1"/>
  <c r="AE30" i="1"/>
  <c r="AB38" i="1"/>
  <c r="P38" i="1"/>
  <c r="G4" i="2"/>
  <c r="AF5" i="2"/>
  <c r="G8" i="2"/>
  <c r="P3" i="1"/>
  <c r="P13" i="1"/>
  <c r="P17" i="1"/>
  <c r="P25" i="1"/>
  <c r="AB34" i="1"/>
  <c r="P34" i="1"/>
  <c r="P39" i="1"/>
  <c r="AB42" i="1"/>
  <c r="P6" i="2"/>
  <c r="AE41" i="1"/>
  <c r="R43" i="1"/>
  <c r="AG53" i="1"/>
  <c r="N5" i="2"/>
  <c r="N9" i="2"/>
  <c r="K23" i="3"/>
  <c r="L23" i="3" s="1"/>
  <c r="E23" i="3"/>
  <c r="F29" i="4"/>
  <c r="F21" i="4"/>
  <c r="F13" i="4"/>
  <c r="AI36" i="1"/>
  <c r="R2" i="1"/>
  <c r="Y14" i="1"/>
  <c r="Y16" i="1"/>
  <c r="Y20" i="1"/>
  <c r="Z20" i="1" s="1"/>
  <c r="Y22" i="1"/>
  <c r="Y28" i="1"/>
  <c r="D2" i="2"/>
  <c r="F2" i="2" s="1"/>
  <c r="K2" i="2"/>
  <c r="AC32" i="1"/>
  <c r="AC38" i="1"/>
  <c r="P37" i="1"/>
  <c r="Y37" i="1"/>
  <c r="Z37" i="1" s="1"/>
  <c r="AG37" i="1" s="1"/>
  <c r="AI40" i="1"/>
  <c r="Y41" i="1"/>
  <c r="Z41" i="1" s="1"/>
  <c r="D6" i="2"/>
  <c r="F6" i="2" s="1"/>
  <c r="AK44" i="1"/>
  <c r="R47" i="1"/>
  <c r="L18" i="3"/>
  <c r="M18" i="3" s="1"/>
  <c r="U9" i="10"/>
  <c r="U14" i="10"/>
  <c r="U18" i="10"/>
  <c r="T27" i="10"/>
  <c r="U27" i="10" s="1"/>
  <c r="AC28" i="1"/>
  <c r="AB30" i="1"/>
  <c r="Y35" i="1"/>
  <c r="AC46" i="1"/>
  <c r="P45" i="1"/>
  <c r="Y45" i="1"/>
  <c r="AC48" i="1"/>
  <c r="AC51" i="1"/>
  <c r="AK50" i="1"/>
  <c r="K4" i="2"/>
  <c r="K5" i="2"/>
  <c r="K9" i="2"/>
  <c r="B12" i="4"/>
  <c r="B20" i="4"/>
  <c r="E42" i="18"/>
  <c r="P42" i="18"/>
  <c r="AC41" i="1"/>
  <c r="AC49" i="1"/>
  <c r="AF52" i="1"/>
  <c r="AG52" i="1" s="1"/>
  <c r="J6" i="2"/>
  <c r="K8" i="3"/>
  <c r="L8" i="3" s="1"/>
  <c r="M8" i="3" s="1"/>
  <c r="E14" i="3"/>
  <c r="E15" i="3"/>
  <c r="E17" i="3"/>
  <c r="E18" i="3"/>
  <c r="E20" i="3"/>
  <c r="C12" i="4"/>
  <c r="C20" i="4"/>
  <c r="J2" i="11"/>
  <c r="C2" i="13"/>
  <c r="AF34" i="1"/>
  <c r="AG34" i="1" s="1"/>
  <c r="Y43" i="1"/>
  <c r="Z43" i="1" s="1"/>
  <c r="Y51" i="1"/>
  <c r="F12" i="4"/>
  <c r="F20" i="4"/>
  <c r="E29" i="18"/>
  <c r="P29" i="18"/>
  <c r="E37" i="18"/>
  <c r="P37" i="18"/>
  <c r="D2" i="11"/>
  <c r="L2" i="11"/>
  <c r="Y42" i="1"/>
  <c r="Y50" i="1"/>
  <c r="K7" i="2"/>
  <c r="H2" i="13"/>
  <c r="G2" i="13"/>
  <c r="F2" i="13"/>
  <c r="M2" i="13"/>
  <c r="E2" i="13"/>
  <c r="L2" i="13"/>
  <c r="D2" i="13"/>
  <c r="AB3" i="13" s="1"/>
  <c r="J2" i="13"/>
  <c r="M2" i="11"/>
  <c r="AF48" i="1"/>
  <c r="C5" i="4"/>
  <c r="E47" i="18"/>
  <c r="P47" i="18"/>
  <c r="D35" i="8"/>
  <c r="F2" i="11"/>
  <c r="N2" i="11"/>
  <c r="Y48" i="1"/>
  <c r="Z48" i="1" s="1"/>
  <c r="K8" i="2"/>
  <c r="E5" i="4"/>
  <c r="E29" i="4" s="1"/>
  <c r="E48" i="18"/>
  <c r="P48" i="18"/>
  <c r="G2" i="11"/>
  <c r="AF38" i="1"/>
  <c r="AG38" i="1" s="1"/>
  <c r="D50" i="1"/>
  <c r="E50" i="1" s="1"/>
  <c r="H2" i="11"/>
  <c r="AE46" i="18"/>
  <c r="AC46" i="18"/>
  <c r="AE39" i="18"/>
  <c r="AC39" i="18"/>
  <c r="Y14" i="18"/>
  <c r="Y16" i="18"/>
  <c r="Y27" i="18"/>
  <c r="AE5" i="18"/>
  <c r="AO5" i="18" s="1"/>
  <c r="AC5" i="18"/>
  <c r="AE26" i="18"/>
  <c r="AC26" i="18"/>
  <c r="AE33" i="18"/>
  <c r="AC33" i="18"/>
  <c r="AE28" i="18"/>
  <c r="AC28" i="18"/>
  <c r="AE3" i="18"/>
  <c r="P28" i="18"/>
  <c r="AI2" i="18"/>
  <c r="Y23" i="18"/>
  <c r="AG2" i="18"/>
  <c r="Y7" i="18"/>
  <c r="Y11" i="18"/>
  <c r="Y18" i="18"/>
  <c r="Y20" i="18"/>
  <c r="P30" i="18"/>
  <c r="P34" i="18"/>
  <c r="P46" i="18"/>
  <c r="P50" i="18"/>
  <c r="AE41" i="18"/>
  <c r="AC41" i="18"/>
  <c r="X2" i="18"/>
  <c r="Z2" i="18" s="1"/>
  <c r="AB2" i="18" s="1"/>
  <c r="AD2" i="18" s="1"/>
  <c r="AL3" i="18"/>
  <c r="P3" i="18"/>
  <c r="Y9" i="18"/>
  <c r="Y15" i="18"/>
  <c r="Y24" i="18"/>
  <c r="AL24" i="18"/>
  <c r="AL25" i="18"/>
  <c r="P39" i="18"/>
  <c r="Y13" i="18"/>
  <c r="AE43" i="18"/>
  <c r="AC43" i="18"/>
  <c r="Y4" i="18"/>
  <c r="Y17" i="18"/>
  <c r="Y25" i="18"/>
  <c r="AE44" i="18"/>
  <c r="AC44" i="18"/>
  <c r="AE52" i="18"/>
  <c r="AC52" i="18"/>
  <c r="Y6" i="18"/>
  <c r="Y8" i="18"/>
  <c r="Y12" i="18"/>
  <c r="Y19" i="18"/>
  <c r="Y34" i="18"/>
  <c r="AC53" i="18"/>
  <c r="AE53" i="18"/>
  <c r="AO53" i="18" s="1"/>
  <c r="AL4" i="18"/>
  <c r="Y10" i="18"/>
  <c r="Y21" i="18"/>
  <c r="X3" i="18"/>
  <c r="P20" i="18"/>
  <c r="Y22" i="18"/>
  <c r="Y30" i="18"/>
  <c r="AL34" i="18"/>
  <c r="P35" i="18"/>
  <c r="Y42" i="18"/>
  <c r="P43" i="18"/>
  <c r="AL46" i="18"/>
  <c r="AL47" i="18"/>
  <c r="P21" i="18"/>
  <c r="P26" i="18"/>
  <c r="AL28" i="18"/>
  <c r="P31" i="18"/>
  <c r="Y35" i="18"/>
  <c r="Y47" i="18"/>
  <c r="P23" i="18"/>
  <c r="P27" i="18"/>
  <c r="Y31" i="18"/>
  <c r="Y36" i="18"/>
  <c r="P40" i="18"/>
  <c r="Y48" i="18"/>
  <c r="Y49" i="18"/>
  <c r="AL23" i="18"/>
  <c r="AL27" i="18"/>
  <c r="Y29" i="18"/>
  <c r="P32" i="18"/>
  <c r="Y37" i="18"/>
  <c r="Y40" i="18"/>
  <c r="Y50" i="18"/>
  <c r="Y51" i="18"/>
  <c r="Y32" i="18"/>
  <c r="P41" i="18"/>
  <c r="P45" i="18"/>
  <c r="P24" i="18"/>
  <c r="P33" i="18"/>
  <c r="Y38" i="18"/>
  <c r="P38" i="18"/>
  <c r="AL42" i="18"/>
  <c r="Y45" i="18"/>
  <c r="AL44" i="18"/>
  <c r="P49" i="18"/>
  <c r="R27" i="1" l="1"/>
  <c r="R37" i="1"/>
  <c r="R39" i="1"/>
  <c r="O2" i="11"/>
  <c r="P44" i="18"/>
  <c r="AO44" i="18" s="1"/>
  <c r="AO26" i="18"/>
  <c r="R34" i="1"/>
  <c r="R46" i="1"/>
  <c r="R42" i="1"/>
  <c r="R52" i="1"/>
  <c r="R28" i="1"/>
  <c r="AO43" i="18"/>
  <c r="R31" i="1"/>
  <c r="D51" i="18"/>
  <c r="D51" i="1"/>
  <c r="AO46" i="18"/>
  <c r="AO41" i="18"/>
  <c r="AO28" i="18"/>
  <c r="P36" i="18"/>
  <c r="R38" i="1"/>
  <c r="R30" i="1"/>
  <c r="R26" i="1"/>
  <c r="K34" i="1"/>
  <c r="K30" i="18"/>
  <c r="K41" i="1"/>
  <c r="U28" i="10"/>
  <c r="K49" i="1"/>
  <c r="K44" i="1"/>
  <c r="K36" i="1"/>
  <c r="K29" i="1"/>
  <c r="K31" i="1"/>
  <c r="K40" i="1"/>
  <c r="K47" i="18"/>
  <c r="K47" i="1"/>
  <c r="K39" i="18"/>
  <c r="K39" i="1"/>
  <c r="K32" i="18"/>
  <c r="K32" i="1"/>
  <c r="K43" i="1"/>
  <c r="C30" i="4"/>
  <c r="B30" i="4"/>
  <c r="B7" i="4"/>
  <c r="B23" i="4" s="1"/>
  <c r="B14" i="4"/>
  <c r="M24" i="3"/>
  <c r="N24" i="3" s="1"/>
  <c r="M17" i="3"/>
  <c r="N17" i="3" s="1"/>
  <c r="M23" i="3"/>
  <c r="N23" i="3" s="1"/>
  <c r="M15" i="3"/>
  <c r="N15" i="3" s="1"/>
  <c r="N21" i="3"/>
  <c r="N9" i="3"/>
  <c r="N12" i="3"/>
  <c r="C14" i="4"/>
  <c r="C22" i="4"/>
  <c r="E14" i="4"/>
  <c r="AN3" i="1"/>
  <c r="AO3" i="1" s="1"/>
  <c r="AE38" i="18"/>
  <c r="AO38" i="18" s="1"/>
  <c r="AC38" i="18"/>
  <c r="AE49" i="18"/>
  <c r="AO49" i="18" s="1"/>
  <c r="AC49" i="18"/>
  <c r="AC19" i="18"/>
  <c r="AE19" i="18"/>
  <c r="AO19" i="18" s="1"/>
  <c r="AE13" i="18"/>
  <c r="AO13" i="18" s="1"/>
  <c r="AC13" i="18"/>
  <c r="AE9" i="18"/>
  <c r="AO9" i="18" s="1"/>
  <c r="AC9" i="18"/>
  <c r="AO3" i="18"/>
  <c r="AP3" i="18"/>
  <c r="AE16" i="18"/>
  <c r="AO16" i="18" s="1"/>
  <c r="AC16" i="18"/>
  <c r="B29" i="4"/>
  <c r="B21" i="4"/>
  <c r="AI41" i="1"/>
  <c r="Q6" i="2"/>
  <c r="AK41" i="1"/>
  <c r="Y6" i="2" s="1"/>
  <c r="K42" i="18"/>
  <c r="K42" i="1"/>
  <c r="K28" i="18"/>
  <c r="K28" i="1"/>
  <c r="E31" i="4"/>
  <c r="E23" i="4"/>
  <c r="E15" i="4"/>
  <c r="R36" i="1"/>
  <c r="AK39" i="1"/>
  <c r="AI39" i="1"/>
  <c r="AN2" i="1"/>
  <c r="AE10" i="1"/>
  <c r="AB10" i="1"/>
  <c r="AB15" i="1"/>
  <c r="AE15" i="1"/>
  <c r="AE30" i="18"/>
  <c r="AO30" i="18" s="1"/>
  <c r="AC30" i="18"/>
  <c r="Z10" i="1"/>
  <c r="AG9" i="1"/>
  <c r="AC32" i="18"/>
  <c r="AE32" i="18"/>
  <c r="AO32" i="18" s="1"/>
  <c r="AE8" i="18"/>
  <c r="AO8" i="18" s="1"/>
  <c r="AC8" i="18"/>
  <c r="AC40" i="18"/>
  <c r="AE40" i="18"/>
  <c r="AO40" i="18" s="1"/>
  <c r="AC48" i="18"/>
  <c r="AE48" i="18"/>
  <c r="AO48" i="18" s="1"/>
  <c r="AE12" i="18"/>
  <c r="AO12" i="18" s="1"/>
  <c r="AC12" i="18"/>
  <c r="AE4" i="18"/>
  <c r="AO4" i="18" s="1"/>
  <c r="AC4" i="18"/>
  <c r="AC7" i="18"/>
  <c r="AE7" i="18"/>
  <c r="AO7" i="18" s="1"/>
  <c r="AO33" i="18"/>
  <c r="AE14" i="18"/>
  <c r="AO14" i="18" s="1"/>
  <c r="AC14" i="18"/>
  <c r="E21" i="4"/>
  <c r="E13" i="4"/>
  <c r="C29" i="4"/>
  <c r="C21" i="4"/>
  <c r="C13" i="4"/>
  <c r="AK46" i="1"/>
  <c r="AI46" i="1"/>
  <c r="K38" i="18"/>
  <c r="K38" i="1"/>
  <c r="AG20" i="1"/>
  <c r="Z21" i="1"/>
  <c r="K52" i="18"/>
  <c r="K52" i="1"/>
  <c r="R50" i="1"/>
  <c r="R44" i="1"/>
  <c r="Z27" i="1"/>
  <c r="AG26" i="1"/>
  <c r="AC35" i="18"/>
  <c r="AE35" i="18"/>
  <c r="AO35" i="18" s="1"/>
  <c r="K33" i="18"/>
  <c r="K33" i="1"/>
  <c r="AI14" i="1"/>
  <c r="AK14" i="1"/>
  <c r="B31" i="4"/>
  <c r="AC45" i="18"/>
  <c r="AE45" i="18"/>
  <c r="AO45" i="18" s="1"/>
  <c r="AE6" i="18"/>
  <c r="AO6" i="18" s="1"/>
  <c r="AC6" i="18"/>
  <c r="AC24" i="18"/>
  <c r="AE24" i="18"/>
  <c r="AO24" i="18" s="1"/>
  <c r="AE20" i="18"/>
  <c r="AO20" i="18" s="1"/>
  <c r="AC20" i="18"/>
  <c r="AK51" i="1"/>
  <c r="AI51" i="1"/>
  <c r="F7" i="4"/>
  <c r="N18" i="3"/>
  <c r="K50" i="18"/>
  <c r="K50" i="1"/>
  <c r="T7" i="2"/>
  <c r="AG29" i="1"/>
  <c r="Z6" i="1"/>
  <c r="AG5" i="1"/>
  <c r="AL5" i="1" s="1"/>
  <c r="AE6" i="1"/>
  <c r="AB6" i="1"/>
  <c r="AE37" i="18"/>
  <c r="AO37" i="18" s="1"/>
  <c r="AC37" i="18"/>
  <c r="AE10" i="18"/>
  <c r="AO10" i="18" s="1"/>
  <c r="AC10" i="18"/>
  <c r="Q5" i="2"/>
  <c r="AK38" i="1"/>
  <c r="Y5" i="2" s="1"/>
  <c r="AI38" i="1"/>
  <c r="AA3" i="2"/>
  <c r="Z3" i="2"/>
  <c r="Z49" i="1"/>
  <c r="AG48" i="1"/>
  <c r="AE36" i="18"/>
  <c r="AC36" i="18"/>
  <c r="Z3" i="18"/>
  <c r="AB3" i="18" s="1"/>
  <c r="AN3" i="18"/>
  <c r="AE17" i="18"/>
  <c r="AO17" i="18" s="1"/>
  <c r="AC17" i="18"/>
  <c r="AE18" i="18"/>
  <c r="AO18" i="18" s="1"/>
  <c r="AC18" i="18"/>
  <c r="AB31" i="1"/>
  <c r="AE31" i="1"/>
  <c r="N6" i="2"/>
  <c r="G5" i="2"/>
  <c r="AF6" i="2"/>
  <c r="P4" i="2"/>
  <c r="S4" i="2" s="1"/>
  <c r="AE35" i="1"/>
  <c r="AB35" i="1"/>
  <c r="AE34" i="1"/>
  <c r="AM3" i="1"/>
  <c r="AJ3" i="1" s="1"/>
  <c r="AK34" i="1"/>
  <c r="Y4" i="2" s="1"/>
  <c r="AI34" i="1"/>
  <c r="Q4" i="2"/>
  <c r="C31" i="4"/>
  <c r="C23" i="4"/>
  <c r="C15" i="4"/>
  <c r="AK43" i="1"/>
  <c r="Y7" i="2" s="1"/>
  <c r="AI43" i="1"/>
  <c r="Q7" i="2"/>
  <c r="Z31" i="1"/>
  <c r="AG30" i="1"/>
  <c r="U2" i="2"/>
  <c r="V2" i="2" s="1"/>
  <c r="AG14" i="1"/>
  <c r="Z15" i="1"/>
  <c r="AB19" i="1"/>
  <c r="AE19" i="1"/>
  <c r="AE22" i="18"/>
  <c r="AO22" i="18" s="1"/>
  <c r="AC22" i="18"/>
  <c r="Q54" i="3"/>
  <c r="N8" i="3"/>
  <c r="AK32" i="1"/>
  <c r="AI32" i="1"/>
  <c r="AE45" i="1"/>
  <c r="AB45" i="1"/>
  <c r="AE29" i="18"/>
  <c r="AO29" i="18" s="1"/>
  <c r="AC29" i="18"/>
  <c r="AE34" i="18"/>
  <c r="AO34" i="18" s="1"/>
  <c r="AC34" i="18"/>
  <c r="AC15" i="18"/>
  <c r="AE15" i="18"/>
  <c r="AO15" i="18" s="1"/>
  <c r="P52" i="18"/>
  <c r="AO52" i="18" s="1"/>
  <c r="AO39" i="18"/>
  <c r="I3" i="13"/>
  <c r="AG3" i="13" s="1"/>
  <c r="H3" i="13"/>
  <c r="AF3" i="13" s="1"/>
  <c r="G3" i="13"/>
  <c r="AE3" i="13" s="1"/>
  <c r="F3" i="13"/>
  <c r="AD3" i="13" s="1"/>
  <c r="M3" i="13"/>
  <c r="AK3" i="13" s="1"/>
  <c r="E3" i="13"/>
  <c r="AC3" i="13" s="1"/>
  <c r="K3" i="13"/>
  <c r="AI3" i="13" s="1"/>
  <c r="C3" i="13"/>
  <c r="AA3" i="13" s="1"/>
  <c r="D3" i="13"/>
  <c r="L3" i="11"/>
  <c r="Z3" i="11" s="1"/>
  <c r="D3" i="11"/>
  <c r="R3" i="11" s="1"/>
  <c r="K3" i="11"/>
  <c r="Y3" i="11" s="1"/>
  <c r="D36" i="8"/>
  <c r="J3" i="11"/>
  <c r="X3" i="11" s="1"/>
  <c r="I3" i="11"/>
  <c r="W3" i="11" s="1"/>
  <c r="H3" i="11"/>
  <c r="V3" i="11" s="1"/>
  <c r="L3" i="13"/>
  <c r="AJ3" i="13" s="1"/>
  <c r="N3" i="11"/>
  <c r="AB3" i="11" s="1"/>
  <c r="F3" i="11"/>
  <c r="J3" i="13"/>
  <c r="AH3" i="13" s="1"/>
  <c r="M3" i="11"/>
  <c r="AA3" i="11" s="1"/>
  <c r="S3" i="11"/>
  <c r="G3" i="11"/>
  <c r="U3" i="11" s="1"/>
  <c r="AI49" i="1"/>
  <c r="AK49" i="1"/>
  <c r="Q8" i="2"/>
  <c r="AK48" i="1"/>
  <c r="Y8" i="2" s="1"/>
  <c r="AI48" i="1"/>
  <c r="AK28" i="1"/>
  <c r="AI28" i="1"/>
  <c r="Z42" i="1"/>
  <c r="AG42" i="1" s="1"/>
  <c r="AG41" i="1"/>
  <c r="AF3" i="2"/>
  <c r="G2" i="2"/>
  <c r="AE48" i="1"/>
  <c r="AE49" i="1"/>
  <c r="P8" i="2"/>
  <c r="S8" i="2" s="1"/>
  <c r="AB49" i="1"/>
  <c r="K27" i="18"/>
  <c r="K27" i="1"/>
  <c r="AI22" i="1"/>
  <c r="AK22" i="1"/>
  <c r="AE25" i="18"/>
  <c r="AO25" i="18" s="1"/>
  <c r="AC25" i="18"/>
  <c r="AE23" i="18"/>
  <c r="AO23" i="18" s="1"/>
  <c r="AC23" i="18"/>
  <c r="AK52" i="1"/>
  <c r="Y9" i="2" s="1"/>
  <c r="Q9" i="2"/>
  <c r="AI52" i="1"/>
  <c r="AI20" i="1"/>
  <c r="AK20" i="1"/>
  <c r="R3" i="2"/>
  <c r="U3" i="2"/>
  <c r="AG18" i="1"/>
  <c r="Z19" i="1"/>
  <c r="AG19" i="1" s="1"/>
  <c r="AE51" i="18"/>
  <c r="AC51" i="18"/>
  <c r="AE50" i="18"/>
  <c r="AO50" i="18" s="1"/>
  <c r="AC50" i="18"/>
  <c r="AE31" i="18"/>
  <c r="AO31" i="18" s="1"/>
  <c r="AC31" i="18"/>
  <c r="AE47" i="18"/>
  <c r="AO47" i="18" s="1"/>
  <c r="AC47" i="18"/>
  <c r="AE42" i="18"/>
  <c r="AO42" i="18" s="1"/>
  <c r="AC42" i="18"/>
  <c r="AE21" i="18"/>
  <c r="AO21" i="18" s="1"/>
  <c r="AC21" i="18"/>
  <c r="AC11" i="18"/>
  <c r="AE11" i="18"/>
  <c r="AO11" i="18" s="1"/>
  <c r="AC27" i="18"/>
  <c r="AE27" i="18"/>
  <c r="AO27" i="18" s="1"/>
  <c r="Z44" i="1"/>
  <c r="AG43" i="1"/>
  <c r="K51" i="18"/>
  <c r="K51" i="1"/>
  <c r="S6" i="2"/>
  <c r="AE39" i="1"/>
  <c r="P5" i="2"/>
  <c r="S5" i="2" s="1"/>
  <c r="AB39" i="1"/>
  <c r="AE38" i="1"/>
  <c r="K37" i="18"/>
  <c r="K37" i="1"/>
  <c r="K45" i="18"/>
  <c r="K45" i="1"/>
  <c r="AK18" i="1"/>
  <c r="AI18" i="1"/>
  <c r="T9" i="2"/>
  <c r="AB27" i="1"/>
  <c r="AE27" i="1"/>
  <c r="AE22" i="1"/>
  <c r="AB22" i="1"/>
  <c r="AO36" i="18" l="1"/>
  <c r="E51" i="1"/>
  <c r="R51" i="1"/>
  <c r="E51" i="18"/>
  <c r="P51" i="18"/>
  <c r="AO51" i="18" s="1"/>
  <c r="T3" i="11"/>
  <c r="O3" i="11"/>
  <c r="B15" i="4"/>
  <c r="E22" i="4"/>
  <c r="E30" i="4"/>
  <c r="N6" i="3"/>
  <c r="Q53" i="3"/>
  <c r="F30" i="4"/>
  <c r="F22" i="4"/>
  <c r="F14" i="4"/>
  <c r="AE23" i="1"/>
  <c r="AB23" i="1"/>
  <c r="R5" i="2"/>
  <c r="U5" i="2"/>
  <c r="AA8" i="2"/>
  <c r="Z8" i="2"/>
  <c r="U4" i="2"/>
  <c r="R4" i="2"/>
  <c r="AB7" i="1"/>
  <c r="AE7" i="1"/>
  <c r="AB11" i="1"/>
  <c r="AE11" i="1"/>
  <c r="AE40" i="1"/>
  <c r="AB40" i="1"/>
  <c r="AG10" i="1"/>
  <c r="Z11" i="1"/>
  <c r="AG11" i="1" s="1"/>
  <c r="U8" i="2"/>
  <c r="R8" i="2"/>
  <c r="Z32" i="1"/>
  <c r="AG32" i="1" s="1"/>
  <c r="AG31" i="1"/>
  <c r="AA5" i="2"/>
  <c r="Z5" i="2"/>
  <c r="AE46" i="1"/>
  <c r="AB46" i="1"/>
  <c r="AG6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Z7" i="1"/>
  <c r="AG7" i="1" s="1"/>
  <c r="T5" i="2"/>
  <c r="X5" i="2"/>
  <c r="AA9" i="2"/>
  <c r="Z9" i="2"/>
  <c r="Z7" i="2"/>
  <c r="AA7" i="2"/>
  <c r="P3" i="2"/>
  <c r="S3" i="2" s="1"/>
  <c r="AB32" i="1"/>
  <c r="AE32" i="1"/>
  <c r="AD3" i="18"/>
  <c r="AG3" i="18"/>
  <c r="AH3" i="18" s="1"/>
  <c r="AF3" i="18"/>
  <c r="R9" i="2"/>
  <c r="R11" i="2"/>
  <c r="U9" i="2"/>
  <c r="AA4" i="1"/>
  <c r="AD4" i="1" s="1"/>
  <c r="Z16" i="1"/>
  <c r="AG16" i="1" s="1"/>
  <c r="AG15" i="1"/>
  <c r="AB36" i="1"/>
  <c r="AE36" i="1"/>
  <c r="Z22" i="1"/>
  <c r="AG21" i="1"/>
  <c r="Z6" i="2"/>
  <c r="AA6" i="2"/>
  <c r="U7" i="2"/>
  <c r="R7" i="2"/>
  <c r="F31" i="4"/>
  <c r="F23" i="4"/>
  <c r="F15" i="4"/>
  <c r="W3" i="2"/>
  <c r="V3" i="2"/>
  <c r="T8" i="2"/>
  <c r="X9" i="2" s="1"/>
  <c r="X8" i="2"/>
  <c r="J4" i="13"/>
  <c r="AH4" i="13" s="1"/>
  <c r="AU4" i="13" s="1"/>
  <c r="I4" i="13"/>
  <c r="AG4" i="13" s="1"/>
  <c r="AT4" i="13" s="1"/>
  <c r="H4" i="13"/>
  <c r="AF4" i="13" s="1"/>
  <c r="AS4" i="13" s="1"/>
  <c r="G4" i="13"/>
  <c r="AE4" i="13" s="1"/>
  <c r="AR4" i="13" s="1"/>
  <c r="F4" i="13"/>
  <c r="AD4" i="13" s="1"/>
  <c r="AQ4" i="13" s="1"/>
  <c r="M4" i="13"/>
  <c r="AK4" i="13" s="1"/>
  <c r="AX4" i="13" s="1"/>
  <c r="L4" i="13"/>
  <c r="AJ4" i="13" s="1"/>
  <c r="AW4" i="13" s="1"/>
  <c r="K4" i="13"/>
  <c r="AI4" i="13" s="1"/>
  <c r="AV4" i="13" s="1"/>
  <c r="E4" i="13"/>
  <c r="AC4" i="13" s="1"/>
  <c r="AP4" i="13" s="1"/>
  <c r="D4" i="13"/>
  <c r="AB4" i="13" s="1"/>
  <c r="AO4" i="13" s="1"/>
  <c r="M4" i="11"/>
  <c r="AA4" i="11" s="1"/>
  <c r="S4" i="11"/>
  <c r="D37" i="8"/>
  <c r="L4" i="11"/>
  <c r="Z4" i="11" s="1"/>
  <c r="D4" i="11"/>
  <c r="R4" i="11" s="1"/>
  <c r="K4" i="11"/>
  <c r="Y4" i="11" s="1"/>
  <c r="J4" i="11"/>
  <c r="X4" i="11" s="1"/>
  <c r="I4" i="11"/>
  <c r="W4" i="11" s="1"/>
  <c r="G4" i="11"/>
  <c r="U4" i="11" s="1"/>
  <c r="C4" i="13"/>
  <c r="AA4" i="13" s="1"/>
  <c r="AN4" i="13" s="1"/>
  <c r="N4" i="11"/>
  <c r="AB4" i="11" s="1"/>
  <c r="F4" i="11"/>
  <c r="H4" i="11"/>
  <c r="V4" i="11" s="1"/>
  <c r="Z50" i="1"/>
  <c r="AG49" i="1"/>
  <c r="R6" i="2"/>
  <c r="U6" i="2"/>
  <c r="Z45" i="1"/>
  <c r="AG44" i="1"/>
  <c r="AA4" i="2"/>
  <c r="Z4" i="2"/>
  <c r="AB50" i="1"/>
  <c r="AE50" i="1"/>
  <c r="AE28" i="1"/>
  <c r="AB28" i="1"/>
  <c r="X6" i="2"/>
  <c r="T6" i="2"/>
  <c r="X7" i="2" s="1"/>
  <c r="T4" i="2"/>
  <c r="Z28" i="1"/>
  <c r="AG28" i="1" s="1"/>
  <c r="AG27" i="1"/>
  <c r="AE16" i="1"/>
  <c r="AB16" i="1"/>
  <c r="T4" i="11" l="1"/>
  <c r="O4" i="11"/>
  <c r="J5" i="13"/>
  <c r="AH5" i="13" s="1"/>
  <c r="AU5" i="13" s="1"/>
  <c r="I5" i="13"/>
  <c r="AG5" i="13" s="1"/>
  <c r="AT5" i="13" s="1"/>
  <c r="H5" i="13"/>
  <c r="AF5" i="13" s="1"/>
  <c r="AS5" i="13" s="1"/>
  <c r="G5" i="13"/>
  <c r="AE5" i="13" s="1"/>
  <c r="AR5" i="13" s="1"/>
  <c r="F5" i="13"/>
  <c r="AD5" i="13" s="1"/>
  <c r="AQ5" i="13" s="1"/>
  <c r="M5" i="13"/>
  <c r="AK5" i="13" s="1"/>
  <c r="AX5" i="13" s="1"/>
  <c r="L5" i="13"/>
  <c r="AJ5" i="13" s="1"/>
  <c r="AW5" i="13" s="1"/>
  <c r="K5" i="13"/>
  <c r="AI5" i="13" s="1"/>
  <c r="AV5" i="13" s="1"/>
  <c r="D5" i="13"/>
  <c r="AB5" i="13" s="1"/>
  <c r="AO5" i="13" s="1"/>
  <c r="E5" i="13"/>
  <c r="AC5" i="13" s="1"/>
  <c r="AP5" i="13" s="1"/>
  <c r="N5" i="11"/>
  <c r="AB5" i="11" s="1"/>
  <c r="F5" i="11"/>
  <c r="C5" i="13"/>
  <c r="AA5" i="13" s="1"/>
  <c r="AN5" i="13" s="1"/>
  <c r="M5" i="11"/>
  <c r="AA5" i="11" s="1"/>
  <c r="S5" i="11"/>
  <c r="L5" i="11"/>
  <c r="Z5" i="11" s="1"/>
  <c r="D5" i="11"/>
  <c r="R5" i="11" s="1"/>
  <c r="K5" i="11"/>
  <c r="Y5" i="11" s="1"/>
  <c r="J5" i="11"/>
  <c r="X5" i="11" s="1"/>
  <c r="H5" i="11"/>
  <c r="V5" i="11" s="1"/>
  <c r="G5" i="11"/>
  <c r="U5" i="11" s="1"/>
  <c r="D38" i="8"/>
  <c r="I5" i="11"/>
  <c r="W5" i="11" s="1"/>
  <c r="V9" i="2"/>
  <c r="AE24" i="1"/>
  <c r="AB24" i="1"/>
  <c r="AD5" i="1"/>
  <c r="AH4" i="1"/>
  <c r="AG22" i="1"/>
  <c r="AL22" i="1" s="1"/>
  <c r="Z23" i="1"/>
  <c r="X3" i="2"/>
  <c r="T3" i="2"/>
  <c r="X4" i="2" s="1"/>
  <c r="V8" i="2"/>
  <c r="W9" i="2" s="1"/>
  <c r="W8" i="2"/>
  <c r="Z46" i="1"/>
  <c r="AG45" i="1"/>
  <c r="V7" i="2"/>
  <c r="AE47" i="1"/>
  <c r="AB47" i="1"/>
  <c r="V5" i="2"/>
  <c r="W6" i="2" s="1"/>
  <c r="V6" i="2"/>
  <c r="W7" i="2" s="1"/>
  <c r="AB51" i="1"/>
  <c r="AE51" i="1"/>
  <c r="Z51" i="1"/>
  <c r="AG51" i="1" s="1"/>
  <c r="AG50" i="1"/>
  <c r="AK3" i="18"/>
  <c r="AM3" i="18" s="1"/>
  <c r="AI3" i="18"/>
  <c r="X4" i="18"/>
  <c r="V4" i="2"/>
  <c r="W5" i="2" s="1"/>
  <c r="W4" i="2"/>
  <c r="T5" i="11" l="1"/>
  <c r="O5" i="11"/>
  <c r="Z47" i="1"/>
  <c r="AG47" i="1" s="1"/>
  <c r="AG46" i="1"/>
  <c r="AN4" i="1"/>
  <c r="AO4" i="1"/>
  <c r="AM4" i="1"/>
  <c r="AJ4" i="1" s="1"/>
  <c r="AD6" i="1"/>
  <c r="AH5" i="1"/>
  <c r="Z4" i="18"/>
  <c r="AN4" i="18"/>
  <c r="Z24" i="1"/>
  <c r="AG24" i="1" s="1"/>
  <c r="AG23" i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J6" i="13"/>
  <c r="AH6" i="13" s="1"/>
  <c r="AU6" i="13" s="1"/>
  <c r="I6" i="13"/>
  <c r="AG6" i="13" s="1"/>
  <c r="AT6" i="13" s="1"/>
  <c r="H6" i="13"/>
  <c r="AF6" i="13" s="1"/>
  <c r="AS6" i="13" s="1"/>
  <c r="G6" i="13"/>
  <c r="AE6" i="13" s="1"/>
  <c r="AR6" i="13" s="1"/>
  <c r="F6" i="13"/>
  <c r="AD6" i="13" s="1"/>
  <c r="AQ6" i="13" s="1"/>
  <c r="D6" i="13"/>
  <c r="AB6" i="13" s="1"/>
  <c r="AO6" i="13" s="1"/>
  <c r="C6" i="13"/>
  <c r="AA6" i="13" s="1"/>
  <c r="AN6" i="13" s="1"/>
  <c r="M6" i="13"/>
  <c r="AK6" i="13" s="1"/>
  <c r="AX6" i="13" s="1"/>
  <c r="K6" i="13"/>
  <c r="AI6" i="13" s="1"/>
  <c r="AV6" i="13" s="1"/>
  <c r="G6" i="11"/>
  <c r="U6" i="11" s="1"/>
  <c r="L6" i="13"/>
  <c r="AJ6" i="13" s="1"/>
  <c r="AW6" i="13" s="1"/>
  <c r="N6" i="11"/>
  <c r="AB6" i="11" s="1"/>
  <c r="F6" i="11"/>
  <c r="E6" i="13"/>
  <c r="AC6" i="13" s="1"/>
  <c r="AP6" i="13" s="1"/>
  <c r="M6" i="11"/>
  <c r="AA6" i="11" s="1"/>
  <c r="S6" i="11"/>
  <c r="L6" i="11"/>
  <c r="Z6" i="11" s="1"/>
  <c r="D6" i="11"/>
  <c r="R6" i="11" s="1"/>
  <c r="K6" i="11"/>
  <c r="Y6" i="11" s="1"/>
  <c r="I6" i="11"/>
  <c r="W6" i="11" s="1"/>
  <c r="D39" i="8"/>
  <c r="H6" i="11"/>
  <c r="V6" i="11" s="1"/>
  <c r="J6" i="11"/>
  <c r="X6" i="11" s="1"/>
  <c r="T6" i="11" l="1"/>
  <c r="O6" i="11"/>
  <c r="AD7" i="1"/>
  <c r="AH7" i="1" s="1"/>
  <c r="AH6" i="1"/>
  <c r="AN5" i="1"/>
  <c r="AO5" i="1" s="1"/>
  <c r="J7" i="13"/>
  <c r="AH7" i="13" s="1"/>
  <c r="AU7" i="13" s="1"/>
  <c r="I7" i="13"/>
  <c r="AG7" i="13" s="1"/>
  <c r="AT7" i="13" s="1"/>
  <c r="H7" i="13"/>
  <c r="AF7" i="13" s="1"/>
  <c r="AS7" i="13" s="1"/>
  <c r="G7" i="13"/>
  <c r="AE7" i="13" s="1"/>
  <c r="AR7" i="13" s="1"/>
  <c r="F7" i="13"/>
  <c r="AD7" i="13" s="1"/>
  <c r="AQ7" i="13" s="1"/>
  <c r="K7" i="13"/>
  <c r="AI7" i="13" s="1"/>
  <c r="AV7" i="13" s="1"/>
  <c r="E7" i="13"/>
  <c r="AC7" i="13" s="1"/>
  <c r="AP7" i="13" s="1"/>
  <c r="D7" i="13"/>
  <c r="AB7" i="13" s="1"/>
  <c r="AO7" i="13" s="1"/>
  <c r="C7" i="13"/>
  <c r="AA7" i="13" s="1"/>
  <c r="AN7" i="13" s="1"/>
  <c r="M7" i="13"/>
  <c r="AK7" i="13" s="1"/>
  <c r="AX7" i="13" s="1"/>
  <c r="H7" i="11"/>
  <c r="V7" i="11" s="1"/>
  <c r="G7" i="11"/>
  <c r="U7" i="11" s="1"/>
  <c r="N7" i="11"/>
  <c r="AB7" i="11" s="1"/>
  <c r="F7" i="11"/>
  <c r="L7" i="13"/>
  <c r="AJ7" i="13" s="1"/>
  <c r="AW7" i="13" s="1"/>
  <c r="M7" i="11"/>
  <c r="AA7" i="11" s="1"/>
  <c r="S7" i="11"/>
  <c r="L7" i="11"/>
  <c r="Z7" i="11" s="1"/>
  <c r="D7" i="11"/>
  <c r="R7" i="11" s="1"/>
  <c r="J7" i="11"/>
  <c r="X7" i="11" s="1"/>
  <c r="I7" i="11"/>
  <c r="W7" i="11" s="1"/>
  <c r="D40" i="8"/>
  <c r="K7" i="11"/>
  <c r="Y7" i="11" s="1"/>
  <c r="AM5" i="1"/>
  <c r="AJ5" i="1" s="1"/>
  <c r="AA5" i="1"/>
  <c r="AB4" i="18"/>
  <c r="Z5" i="18"/>
  <c r="T7" i="11" l="1"/>
  <c r="O7" i="11"/>
  <c r="AN6" i="1"/>
  <c r="AO6" i="1" s="1"/>
  <c r="AO7" i="1" s="1"/>
  <c r="AN7" i="1"/>
  <c r="Z6" i="18"/>
  <c r="AB5" i="18"/>
  <c r="AG4" i="18"/>
  <c r="AH4" i="18" s="1"/>
  <c r="AF4" i="18"/>
  <c r="AD4" i="18" s="1"/>
  <c r="J8" i="13"/>
  <c r="AH8" i="13" s="1"/>
  <c r="AU8" i="13" s="1"/>
  <c r="I8" i="13"/>
  <c r="AG8" i="13" s="1"/>
  <c r="AT8" i="13" s="1"/>
  <c r="H8" i="13"/>
  <c r="AF8" i="13" s="1"/>
  <c r="AS8" i="13" s="1"/>
  <c r="G8" i="13"/>
  <c r="AE8" i="13" s="1"/>
  <c r="AR8" i="13" s="1"/>
  <c r="F8" i="13"/>
  <c r="AD8" i="13" s="1"/>
  <c r="AQ8" i="13" s="1"/>
  <c r="M8" i="13"/>
  <c r="AK8" i="13" s="1"/>
  <c r="AX8" i="13" s="1"/>
  <c r="L8" i="13"/>
  <c r="AJ8" i="13" s="1"/>
  <c r="AW8" i="13" s="1"/>
  <c r="K8" i="13"/>
  <c r="AI8" i="13" s="1"/>
  <c r="AV8" i="13" s="1"/>
  <c r="E8" i="13"/>
  <c r="AC8" i="13" s="1"/>
  <c r="AP8" i="13" s="1"/>
  <c r="D8" i="13"/>
  <c r="AB8" i="13" s="1"/>
  <c r="AO8" i="13" s="1"/>
  <c r="I8" i="11"/>
  <c r="W8" i="11" s="1"/>
  <c r="H8" i="11"/>
  <c r="V8" i="11" s="1"/>
  <c r="G8" i="11"/>
  <c r="U8" i="11" s="1"/>
  <c r="N8" i="11"/>
  <c r="AB8" i="11" s="1"/>
  <c r="F8" i="11"/>
  <c r="M8" i="11"/>
  <c r="AA8" i="11" s="1"/>
  <c r="S8" i="11"/>
  <c r="D41" i="8"/>
  <c r="K8" i="11"/>
  <c r="Y8" i="11" s="1"/>
  <c r="J8" i="11"/>
  <c r="X8" i="11" s="1"/>
  <c r="L8" i="11"/>
  <c r="Z8" i="11" s="1"/>
  <c r="D8" i="11"/>
  <c r="R8" i="11" s="1"/>
  <c r="C8" i="13"/>
  <c r="AA8" i="13" s="1"/>
  <c r="AN8" i="13" s="1"/>
  <c r="AM6" i="1"/>
  <c r="AJ6" i="1" s="1"/>
  <c r="AA6" i="1"/>
  <c r="T8" i="11" l="1"/>
  <c r="O8" i="11"/>
  <c r="Z7" i="18"/>
  <c r="AB7" i="18" s="1"/>
  <c r="AB6" i="18"/>
  <c r="AG5" i="18"/>
  <c r="AH5" i="18" s="1"/>
  <c r="AI4" i="18"/>
  <c r="AF5" i="18"/>
  <c r="AK4" i="18"/>
  <c r="AM4" i="18" s="1"/>
  <c r="X5" i="18"/>
  <c r="AN5" i="18" s="1"/>
  <c r="J9" i="13"/>
  <c r="AH9" i="13" s="1"/>
  <c r="AU9" i="13" s="1"/>
  <c r="I9" i="13"/>
  <c r="AG9" i="13" s="1"/>
  <c r="AT9" i="13" s="1"/>
  <c r="H9" i="13"/>
  <c r="AF9" i="13" s="1"/>
  <c r="AS9" i="13" s="1"/>
  <c r="G9" i="13"/>
  <c r="AE9" i="13" s="1"/>
  <c r="AR9" i="13" s="1"/>
  <c r="F9" i="13"/>
  <c r="AD9" i="13" s="1"/>
  <c r="AQ9" i="13" s="1"/>
  <c r="M9" i="13"/>
  <c r="AK9" i="13" s="1"/>
  <c r="AX9" i="13" s="1"/>
  <c r="L9" i="13"/>
  <c r="AJ9" i="13" s="1"/>
  <c r="AW9" i="13" s="1"/>
  <c r="K9" i="13"/>
  <c r="AI9" i="13" s="1"/>
  <c r="AV9" i="13" s="1"/>
  <c r="D9" i="13"/>
  <c r="AB9" i="13" s="1"/>
  <c r="AO9" i="13" s="1"/>
  <c r="J9" i="11"/>
  <c r="X9" i="11" s="1"/>
  <c r="I9" i="11"/>
  <c r="W9" i="11" s="1"/>
  <c r="H9" i="11"/>
  <c r="V9" i="11" s="1"/>
  <c r="G9" i="11"/>
  <c r="U9" i="11" s="1"/>
  <c r="D42" i="8"/>
  <c r="N9" i="11"/>
  <c r="AB9" i="11" s="1"/>
  <c r="F9" i="11"/>
  <c r="E9" i="13"/>
  <c r="AC9" i="13" s="1"/>
  <c r="AP9" i="13" s="1"/>
  <c r="L9" i="11"/>
  <c r="Z9" i="11" s="1"/>
  <c r="D9" i="11"/>
  <c r="R9" i="11" s="1"/>
  <c r="C9" i="13"/>
  <c r="AA9" i="13" s="1"/>
  <c r="AN9" i="13" s="1"/>
  <c r="K9" i="11"/>
  <c r="Y9" i="11" s="1"/>
  <c r="M9" i="11"/>
  <c r="AA9" i="11" s="1"/>
  <c r="S9" i="11"/>
  <c r="AM7" i="1"/>
  <c r="AA7" i="1"/>
  <c r="T9" i="11" l="1"/>
  <c r="O9" i="11"/>
  <c r="AI5" i="18"/>
  <c r="AF6" i="18"/>
  <c r="AK5" i="18"/>
  <c r="AM5" i="18" s="1"/>
  <c r="X6" i="18"/>
  <c r="AN6" i="18" s="1"/>
  <c r="AD5" i="18"/>
  <c r="AD6" i="18"/>
  <c r="AG6" i="18"/>
  <c r="AH6" i="18" s="1"/>
  <c r="AH7" i="18" s="1"/>
  <c r="AG7" i="18"/>
  <c r="AA8" i="1"/>
  <c r="AD8" i="1" s="1"/>
  <c r="AJ7" i="1"/>
  <c r="J10" i="13"/>
  <c r="AH10" i="13" s="1"/>
  <c r="AU10" i="13" s="1"/>
  <c r="I10" i="13"/>
  <c r="AG10" i="13" s="1"/>
  <c r="AT10" i="13" s="1"/>
  <c r="H10" i="13"/>
  <c r="AF10" i="13" s="1"/>
  <c r="AS10" i="13" s="1"/>
  <c r="G10" i="13"/>
  <c r="AE10" i="13" s="1"/>
  <c r="AR10" i="13" s="1"/>
  <c r="F10" i="13"/>
  <c r="AD10" i="13" s="1"/>
  <c r="AQ10" i="13" s="1"/>
  <c r="L10" i="13"/>
  <c r="AJ10" i="13" s="1"/>
  <c r="AW10" i="13" s="1"/>
  <c r="D10" i="13"/>
  <c r="AB10" i="13" s="1"/>
  <c r="AO10" i="13" s="1"/>
  <c r="H10" i="11"/>
  <c r="V10" i="11" s="1"/>
  <c r="G10" i="11"/>
  <c r="U10" i="11" s="1"/>
  <c r="N10" i="11"/>
  <c r="AB10" i="11" s="1"/>
  <c r="F10" i="11"/>
  <c r="M10" i="13"/>
  <c r="AK10" i="13" s="1"/>
  <c r="AX10" i="13" s="1"/>
  <c r="M10" i="11"/>
  <c r="AA10" i="11" s="1"/>
  <c r="S10" i="11"/>
  <c r="K10" i="13"/>
  <c r="AI10" i="13" s="1"/>
  <c r="AV10" i="13" s="1"/>
  <c r="L10" i="11"/>
  <c r="Z10" i="11" s="1"/>
  <c r="D10" i="11"/>
  <c r="R10" i="11" s="1"/>
  <c r="C10" i="13"/>
  <c r="AA10" i="13" s="1"/>
  <c r="AN10" i="13" s="1"/>
  <c r="J10" i="11"/>
  <c r="X10" i="11" s="1"/>
  <c r="K10" i="11"/>
  <c r="Y10" i="11" s="1"/>
  <c r="I10" i="11"/>
  <c r="W10" i="11" s="1"/>
  <c r="E10" i="13"/>
  <c r="AC10" i="13" s="1"/>
  <c r="AP10" i="13" s="1"/>
  <c r="D43" i="8"/>
  <c r="T10" i="11" l="1"/>
  <c r="O10" i="11"/>
  <c r="AK6" i="18"/>
  <c r="AM6" i="18" s="1"/>
  <c r="AI6" i="18"/>
  <c r="AF7" i="18"/>
  <c r="X7" i="18"/>
  <c r="AN7" i="18" s="1"/>
  <c r="J11" i="13"/>
  <c r="AH11" i="13" s="1"/>
  <c r="AU11" i="13" s="1"/>
  <c r="I11" i="13"/>
  <c r="AG11" i="13" s="1"/>
  <c r="AT11" i="13" s="1"/>
  <c r="H11" i="13"/>
  <c r="AF11" i="13" s="1"/>
  <c r="AS11" i="13" s="1"/>
  <c r="G11" i="13"/>
  <c r="AE11" i="13" s="1"/>
  <c r="AR11" i="13" s="1"/>
  <c r="F11" i="13"/>
  <c r="AD11" i="13" s="1"/>
  <c r="AQ11" i="13" s="1"/>
  <c r="L11" i="13"/>
  <c r="AJ11" i="13" s="1"/>
  <c r="AW11" i="13" s="1"/>
  <c r="D11" i="13"/>
  <c r="AB11" i="13" s="1"/>
  <c r="AO11" i="13" s="1"/>
  <c r="I11" i="11"/>
  <c r="W11" i="11" s="1"/>
  <c r="H11" i="11"/>
  <c r="V11" i="11" s="1"/>
  <c r="G11" i="11"/>
  <c r="U11" i="11" s="1"/>
  <c r="N11" i="11"/>
  <c r="AB11" i="11" s="1"/>
  <c r="F11" i="11"/>
  <c r="M11" i="13"/>
  <c r="AK11" i="13" s="1"/>
  <c r="AX11" i="13" s="1"/>
  <c r="M11" i="11"/>
  <c r="AA11" i="11" s="1"/>
  <c r="S11" i="11"/>
  <c r="E11" i="13"/>
  <c r="AC11" i="13" s="1"/>
  <c r="AP11" i="13" s="1"/>
  <c r="K11" i="11"/>
  <c r="Y11" i="11" s="1"/>
  <c r="L11" i="11"/>
  <c r="Z11" i="11" s="1"/>
  <c r="D44" i="8"/>
  <c r="J11" i="11"/>
  <c r="X11" i="11" s="1"/>
  <c r="D11" i="11"/>
  <c r="R11" i="11" s="1"/>
  <c r="C11" i="13"/>
  <c r="AA11" i="13" s="1"/>
  <c r="AN11" i="13" s="1"/>
  <c r="K11" i="13"/>
  <c r="AI11" i="13" s="1"/>
  <c r="AV11" i="13" s="1"/>
  <c r="AD9" i="1"/>
  <c r="AH8" i="1"/>
  <c r="T11" i="11" l="1"/>
  <c r="O11" i="11"/>
  <c r="AK7" i="18"/>
  <c r="AM7" i="18" s="1"/>
  <c r="AI7" i="18"/>
  <c r="X8" i="18"/>
  <c r="AD7" i="18"/>
  <c r="J12" i="13"/>
  <c r="AH12" i="13" s="1"/>
  <c r="AU12" i="13" s="1"/>
  <c r="I12" i="13"/>
  <c r="AG12" i="13" s="1"/>
  <c r="AT12" i="13" s="1"/>
  <c r="H12" i="13"/>
  <c r="AF12" i="13" s="1"/>
  <c r="AS12" i="13" s="1"/>
  <c r="G12" i="13"/>
  <c r="AE12" i="13" s="1"/>
  <c r="AR12" i="13" s="1"/>
  <c r="F12" i="13"/>
  <c r="AD12" i="13" s="1"/>
  <c r="AQ12" i="13" s="1"/>
  <c r="L12" i="13"/>
  <c r="AJ12" i="13" s="1"/>
  <c r="AW12" i="13" s="1"/>
  <c r="D12" i="13"/>
  <c r="AB12" i="13" s="1"/>
  <c r="AO12" i="13" s="1"/>
  <c r="C12" i="13"/>
  <c r="AA12" i="13" s="1"/>
  <c r="AN12" i="13" s="1"/>
  <c r="J12" i="11"/>
  <c r="X12" i="11" s="1"/>
  <c r="I12" i="11"/>
  <c r="W12" i="11" s="1"/>
  <c r="H12" i="11"/>
  <c r="V12" i="11" s="1"/>
  <c r="G12" i="11"/>
  <c r="U12" i="11" s="1"/>
  <c r="N12" i="11"/>
  <c r="AB12" i="11" s="1"/>
  <c r="F12" i="11"/>
  <c r="K12" i="13"/>
  <c r="AI12" i="13" s="1"/>
  <c r="AV12" i="13" s="1"/>
  <c r="L12" i="11"/>
  <c r="Z12" i="11" s="1"/>
  <c r="D12" i="11"/>
  <c r="R12" i="11" s="1"/>
  <c r="M12" i="13"/>
  <c r="AK12" i="13" s="1"/>
  <c r="AX12" i="13" s="1"/>
  <c r="D45" i="8"/>
  <c r="E12" i="13"/>
  <c r="AC12" i="13" s="1"/>
  <c r="AP12" i="13" s="1"/>
  <c r="M12" i="11"/>
  <c r="AA12" i="11" s="1"/>
  <c r="K12" i="11"/>
  <c r="Y12" i="11" s="1"/>
  <c r="S12" i="11"/>
  <c r="AJ8" i="1"/>
  <c r="AN8" i="1"/>
  <c r="AO8" i="1"/>
  <c r="AM8" i="1"/>
  <c r="AD10" i="1"/>
  <c r="AH9" i="1"/>
  <c r="T12" i="11" l="1"/>
  <c r="O12" i="11"/>
  <c r="AN9" i="1"/>
  <c r="AO9" i="1" s="1"/>
  <c r="AM9" i="1"/>
  <c r="AJ9" i="1" s="1"/>
  <c r="AA9" i="1"/>
  <c r="Z8" i="18"/>
  <c r="AN8" i="18"/>
  <c r="AD11" i="1"/>
  <c r="AH11" i="1" s="1"/>
  <c r="AH10" i="1"/>
  <c r="J13" i="13"/>
  <c r="AH13" i="13" s="1"/>
  <c r="AU13" i="13" s="1"/>
  <c r="I13" i="13"/>
  <c r="AG13" i="13" s="1"/>
  <c r="AT13" i="13" s="1"/>
  <c r="H13" i="13"/>
  <c r="AF13" i="13" s="1"/>
  <c r="AS13" i="13" s="1"/>
  <c r="G13" i="13"/>
  <c r="AE13" i="13" s="1"/>
  <c r="AR13" i="13" s="1"/>
  <c r="F13" i="13"/>
  <c r="AD13" i="13" s="1"/>
  <c r="AQ13" i="13" s="1"/>
  <c r="L13" i="13"/>
  <c r="AJ13" i="13" s="1"/>
  <c r="AW13" i="13" s="1"/>
  <c r="D13" i="13"/>
  <c r="AB13" i="13" s="1"/>
  <c r="AO13" i="13" s="1"/>
  <c r="E13" i="13"/>
  <c r="AC13" i="13" s="1"/>
  <c r="AP13" i="13" s="1"/>
  <c r="K13" i="11"/>
  <c r="Y13" i="11" s="1"/>
  <c r="C13" i="13"/>
  <c r="AA13" i="13" s="1"/>
  <c r="AN13" i="13" s="1"/>
  <c r="J13" i="11"/>
  <c r="X13" i="11" s="1"/>
  <c r="I13" i="11"/>
  <c r="W13" i="11" s="1"/>
  <c r="H13" i="11"/>
  <c r="V13" i="11" s="1"/>
  <c r="G13" i="11"/>
  <c r="U13" i="11" s="1"/>
  <c r="M13" i="13"/>
  <c r="AK13" i="13" s="1"/>
  <c r="AX13" i="13" s="1"/>
  <c r="M13" i="11"/>
  <c r="AA13" i="11" s="1"/>
  <c r="S13" i="11"/>
  <c r="K13" i="13"/>
  <c r="AI13" i="13" s="1"/>
  <c r="AV13" i="13" s="1"/>
  <c r="N13" i="11"/>
  <c r="AB13" i="11" s="1"/>
  <c r="F13" i="11"/>
  <c r="D13" i="11"/>
  <c r="R13" i="11" s="1"/>
  <c r="D46" i="8"/>
  <c r="L13" i="11"/>
  <c r="Z13" i="11" s="1"/>
  <c r="T13" i="11" l="1"/>
  <c r="O13" i="11"/>
  <c r="AN10" i="1"/>
  <c r="AO10" i="1" s="1"/>
  <c r="AO11" i="1" s="1"/>
  <c r="AN11" i="1"/>
  <c r="AB8" i="18"/>
  <c r="Z9" i="18"/>
  <c r="AM10" i="1"/>
  <c r="AA10" i="1"/>
  <c r="K14" i="13"/>
  <c r="AI14" i="13" s="1"/>
  <c r="AV14" i="13" s="1"/>
  <c r="C14" i="13"/>
  <c r="AA14" i="13" s="1"/>
  <c r="AN14" i="13" s="1"/>
  <c r="J14" i="13"/>
  <c r="AH14" i="13" s="1"/>
  <c r="AU14" i="13" s="1"/>
  <c r="I14" i="13"/>
  <c r="AG14" i="13" s="1"/>
  <c r="AT14" i="13" s="1"/>
  <c r="H14" i="13"/>
  <c r="AF14" i="13" s="1"/>
  <c r="AS14" i="13" s="1"/>
  <c r="G14" i="13"/>
  <c r="AE14" i="13" s="1"/>
  <c r="AR14" i="13" s="1"/>
  <c r="F14" i="13"/>
  <c r="AD14" i="13" s="1"/>
  <c r="AQ14" i="13" s="1"/>
  <c r="E14" i="13"/>
  <c r="AC14" i="13" s="1"/>
  <c r="AP14" i="13" s="1"/>
  <c r="D14" i="13"/>
  <c r="AB14" i="13" s="1"/>
  <c r="AO14" i="13" s="1"/>
  <c r="M14" i="13"/>
  <c r="AK14" i="13" s="1"/>
  <c r="AX14" i="13" s="1"/>
  <c r="L14" i="13"/>
  <c r="AJ14" i="13" s="1"/>
  <c r="AW14" i="13" s="1"/>
  <c r="L14" i="11"/>
  <c r="Z14" i="11" s="1"/>
  <c r="D14" i="11"/>
  <c r="R14" i="11" s="1"/>
  <c r="K14" i="11"/>
  <c r="Y14" i="11" s="1"/>
  <c r="J14" i="11"/>
  <c r="X14" i="11" s="1"/>
  <c r="I14" i="11"/>
  <c r="W14" i="11" s="1"/>
  <c r="H14" i="11"/>
  <c r="V14" i="11" s="1"/>
  <c r="N14" i="11"/>
  <c r="AB14" i="11" s="1"/>
  <c r="F14" i="11"/>
  <c r="S14" i="11"/>
  <c r="M14" i="11"/>
  <c r="AA14" i="11" s="1"/>
  <c r="D47" i="8"/>
  <c r="G14" i="11"/>
  <c r="U14" i="11" s="1"/>
  <c r="T14" i="11" l="1"/>
  <c r="O14" i="11"/>
  <c r="AM11" i="1"/>
  <c r="AA11" i="1"/>
  <c r="Z10" i="18"/>
  <c r="AB9" i="18"/>
  <c r="AG8" i="18"/>
  <c r="AH8" i="18"/>
  <c r="AF8" i="18"/>
  <c r="AJ10" i="1"/>
  <c r="K15" i="13"/>
  <c r="AI15" i="13" s="1"/>
  <c r="AV15" i="13" s="1"/>
  <c r="C15" i="13"/>
  <c r="AA15" i="13" s="1"/>
  <c r="AN15" i="13" s="1"/>
  <c r="J15" i="13"/>
  <c r="AH15" i="13" s="1"/>
  <c r="AU15" i="13" s="1"/>
  <c r="I15" i="13"/>
  <c r="AG15" i="13" s="1"/>
  <c r="AT15" i="13" s="1"/>
  <c r="H15" i="13"/>
  <c r="AF15" i="13" s="1"/>
  <c r="AS15" i="13" s="1"/>
  <c r="G15" i="13"/>
  <c r="AE15" i="13" s="1"/>
  <c r="AR15" i="13" s="1"/>
  <c r="F15" i="13"/>
  <c r="AD15" i="13" s="1"/>
  <c r="AQ15" i="13" s="1"/>
  <c r="L15" i="13"/>
  <c r="AJ15" i="13" s="1"/>
  <c r="AW15" i="13" s="1"/>
  <c r="E15" i="13"/>
  <c r="AC15" i="13" s="1"/>
  <c r="AP15" i="13" s="1"/>
  <c r="D15" i="13"/>
  <c r="AB15" i="13" s="1"/>
  <c r="AO15" i="13" s="1"/>
  <c r="M15" i="11"/>
  <c r="AA15" i="11" s="1"/>
  <c r="S15" i="11"/>
  <c r="L15" i="11"/>
  <c r="Z15" i="11" s="1"/>
  <c r="D15" i="11"/>
  <c r="R15" i="11" s="1"/>
  <c r="K15" i="11"/>
  <c r="Y15" i="11" s="1"/>
  <c r="M15" i="13"/>
  <c r="AK15" i="13" s="1"/>
  <c r="AX15" i="13" s="1"/>
  <c r="J15" i="11"/>
  <c r="X15" i="11" s="1"/>
  <c r="I15" i="11"/>
  <c r="W15" i="11" s="1"/>
  <c r="G15" i="11"/>
  <c r="U15" i="11" s="1"/>
  <c r="H15" i="11"/>
  <c r="V15" i="11" s="1"/>
  <c r="F15" i="11"/>
  <c r="N15" i="11"/>
  <c r="AB15" i="11" s="1"/>
  <c r="D48" i="8"/>
  <c r="T15" i="11" l="1"/>
  <c r="O15" i="11"/>
  <c r="AI8" i="18"/>
  <c r="AF9" i="18"/>
  <c r="AD9" i="18" s="1"/>
  <c r="AK8" i="18"/>
  <c r="AM8" i="18" s="1"/>
  <c r="X9" i="18"/>
  <c r="AN9" i="18" s="1"/>
  <c r="K16" i="13"/>
  <c r="AI16" i="13" s="1"/>
  <c r="AV16" i="13" s="1"/>
  <c r="C16" i="13"/>
  <c r="AA16" i="13" s="1"/>
  <c r="AN16" i="13" s="1"/>
  <c r="J16" i="13"/>
  <c r="AH16" i="13" s="1"/>
  <c r="AU16" i="13" s="1"/>
  <c r="I16" i="13"/>
  <c r="AG16" i="13" s="1"/>
  <c r="AT16" i="13" s="1"/>
  <c r="H16" i="13"/>
  <c r="AF16" i="13" s="1"/>
  <c r="AS16" i="13" s="1"/>
  <c r="G16" i="13"/>
  <c r="AE16" i="13" s="1"/>
  <c r="AR16" i="13" s="1"/>
  <c r="F16" i="13"/>
  <c r="AD16" i="13" s="1"/>
  <c r="AQ16" i="13" s="1"/>
  <c r="M16" i="13"/>
  <c r="AK16" i="13" s="1"/>
  <c r="AX16" i="13" s="1"/>
  <c r="L16" i="13"/>
  <c r="AJ16" i="13" s="1"/>
  <c r="AW16" i="13" s="1"/>
  <c r="E16" i="13"/>
  <c r="AC16" i="13" s="1"/>
  <c r="AP16" i="13" s="1"/>
  <c r="D16" i="13"/>
  <c r="AB16" i="13" s="1"/>
  <c r="AO16" i="13" s="1"/>
  <c r="N16" i="11"/>
  <c r="AB16" i="11" s="1"/>
  <c r="F16" i="11"/>
  <c r="M16" i="11"/>
  <c r="AA16" i="11" s="1"/>
  <c r="S16" i="11"/>
  <c r="L16" i="11"/>
  <c r="Z16" i="11" s="1"/>
  <c r="D16" i="11"/>
  <c r="R16" i="11" s="1"/>
  <c r="K16" i="11"/>
  <c r="Y16" i="11" s="1"/>
  <c r="J16" i="11"/>
  <c r="X16" i="11" s="1"/>
  <c r="H16" i="11"/>
  <c r="V16" i="11" s="1"/>
  <c r="I16" i="11"/>
  <c r="W16" i="11" s="1"/>
  <c r="G16" i="11"/>
  <c r="U16" i="11" s="1"/>
  <c r="D49" i="8"/>
  <c r="AD8" i="18"/>
  <c r="AG9" i="18"/>
  <c r="AH9" i="18" s="1"/>
  <c r="Z11" i="18"/>
  <c r="AB11" i="18" s="1"/>
  <c r="AB10" i="18"/>
  <c r="AM12" i="1"/>
  <c r="AA12" i="1"/>
  <c r="AD12" i="1" s="1"/>
  <c r="AH12" i="1" s="1"/>
  <c r="AJ11" i="1"/>
  <c r="T16" i="11" l="1"/>
  <c r="O16" i="11"/>
  <c r="AA13" i="1"/>
  <c r="AD13" i="1" s="1"/>
  <c r="AD10" i="18"/>
  <c r="AG10" i="18"/>
  <c r="AH10" i="18" s="1"/>
  <c r="AH11" i="18" s="1"/>
  <c r="K17" i="13"/>
  <c r="AI17" i="13" s="1"/>
  <c r="AV17" i="13" s="1"/>
  <c r="C17" i="13"/>
  <c r="AA17" i="13" s="1"/>
  <c r="AN17" i="13" s="1"/>
  <c r="J17" i="13"/>
  <c r="AH17" i="13" s="1"/>
  <c r="AU17" i="13" s="1"/>
  <c r="I17" i="13"/>
  <c r="AG17" i="13" s="1"/>
  <c r="AT17" i="13" s="1"/>
  <c r="H17" i="13"/>
  <c r="AF17" i="13" s="1"/>
  <c r="AS17" i="13" s="1"/>
  <c r="G17" i="13"/>
  <c r="AE17" i="13" s="1"/>
  <c r="AR17" i="13" s="1"/>
  <c r="F17" i="13"/>
  <c r="AD17" i="13" s="1"/>
  <c r="AQ17" i="13" s="1"/>
  <c r="M17" i="13"/>
  <c r="AK17" i="13" s="1"/>
  <c r="AX17" i="13" s="1"/>
  <c r="L17" i="13"/>
  <c r="AJ17" i="13" s="1"/>
  <c r="AW17" i="13" s="1"/>
  <c r="E17" i="13"/>
  <c r="AC17" i="13" s="1"/>
  <c r="AP17" i="13" s="1"/>
  <c r="D17" i="13"/>
  <c r="AB17" i="13" s="1"/>
  <c r="AO17" i="13" s="1"/>
  <c r="G17" i="11"/>
  <c r="U17" i="11" s="1"/>
  <c r="N17" i="11"/>
  <c r="AB17" i="11" s="1"/>
  <c r="F17" i="11"/>
  <c r="M17" i="11"/>
  <c r="AA17" i="11" s="1"/>
  <c r="S17" i="11"/>
  <c r="L17" i="11"/>
  <c r="Z17" i="11" s="1"/>
  <c r="D17" i="11"/>
  <c r="R17" i="11" s="1"/>
  <c r="K17" i="11"/>
  <c r="Y17" i="11" s="1"/>
  <c r="I17" i="11"/>
  <c r="W17" i="11" s="1"/>
  <c r="J17" i="11"/>
  <c r="X17" i="11" s="1"/>
  <c r="H17" i="11"/>
  <c r="V17" i="11" s="1"/>
  <c r="D50" i="8"/>
  <c r="AI9" i="18"/>
  <c r="AF10" i="18"/>
  <c r="AK9" i="18"/>
  <c r="AM9" i="18" s="1"/>
  <c r="X10" i="18"/>
  <c r="AN10" i="18" s="1"/>
  <c r="AG11" i="18"/>
  <c r="AJ12" i="1"/>
  <c r="AN12" i="1"/>
  <c r="AO12" i="1" s="1"/>
  <c r="T17" i="11" l="1"/>
  <c r="O17" i="11"/>
  <c r="AK10" i="18"/>
  <c r="AM10" i="18" s="1"/>
  <c r="AI10" i="18"/>
  <c r="AF11" i="18"/>
  <c r="X11" i="18"/>
  <c r="AN11" i="18" s="1"/>
  <c r="AD14" i="1"/>
  <c r="AH13" i="1"/>
  <c r="K18" i="13"/>
  <c r="AI18" i="13" s="1"/>
  <c r="AV18" i="13" s="1"/>
  <c r="C18" i="13"/>
  <c r="AA18" i="13" s="1"/>
  <c r="AN18" i="13" s="1"/>
  <c r="J18" i="13"/>
  <c r="AH18" i="13" s="1"/>
  <c r="AU18" i="13" s="1"/>
  <c r="I18" i="13"/>
  <c r="AG18" i="13" s="1"/>
  <c r="AT18" i="13" s="1"/>
  <c r="H18" i="13"/>
  <c r="AF18" i="13" s="1"/>
  <c r="AS18" i="13" s="1"/>
  <c r="G18" i="13"/>
  <c r="AE18" i="13" s="1"/>
  <c r="AR18" i="13" s="1"/>
  <c r="F18" i="13"/>
  <c r="AD18" i="13" s="1"/>
  <c r="AQ18" i="13" s="1"/>
  <c r="M18" i="13"/>
  <c r="AK18" i="13" s="1"/>
  <c r="AX18" i="13" s="1"/>
  <c r="L18" i="13"/>
  <c r="AJ18" i="13" s="1"/>
  <c r="AW18" i="13" s="1"/>
  <c r="E18" i="13"/>
  <c r="AC18" i="13" s="1"/>
  <c r="AP18" i="13" s="1"/>
  <c r="H18" i="11"/>
  <c r="V18" i="11" s="1"/>
  <c r="G18" i="11"/>
  <c r="U18" i="11" s="1"/>
  <c r="N18" i="11"/>
  <c r="AB18" i="11" s="1"/>
  <c r="F18" i="11"/>
  <c r="M18" i="11"/>
  <c r="AA18" i="11" s="1"/>
  <c r="S18" i="11"/>
  <c r="L18" i="11"/>
  <c r="Z18" i="11" s="1"/>
  <c r="D18" i="11"/>
  <c r="R18" i="11" s="1"/>
  <c r="D18" i="13"/>
  <c r="AB18" i="13" s="1"/>
  <c r="AO18" i="13" s="1"/>
  <c r="J18" i="11"/>
  <c r="X18" i="11" s="1"/>
  <c r="D51" i="8"/>
  <c r="K18" i="11"/>
  <c r="Y18" i="11" s="1"/>
  <c r="I18" i="11"/>
  <c r="W18" i="11" s="1"/>
  <c r="T18" i="11" l="1"/>
  <c r="O18" i="11"/>
  <c r="AN13" i="1"/>
  <c r="AO13" i="1" s="1"/>
  <c r="AM13" i="1"/>
  <c r="AD15" i="1"/>
  <c r="AH14" i="1"/>
  <c r="AK11" i="18"/>
  <c r="AM11" i="18" s="1"/>
  <c r="AI11" i="18"/>
  <c r="X12" i="18"/>
  <c r="AD11" i="18"/>
  <c r="K19" i="13"/>
  <c r="AI19" i="13" s="1"/>
  <c r="AV19" i="13" s="1"/>
  <c r="C19" i="13"/>
  <c r="AA19" i="13" s="1"/>
  <c r="AN19" i="13" s="1"/>
  <c r="J19" i="13"/>
  <c r="AH19" i="13" s="1"/>
  <c r="AU19" i="13" s="1"/>
  <c r="I19" i="13"/>
  <c r="AG19" i="13" s="1"/>
  <c r="AT19" i="13" s="1"/>
  <c r="H19" i="13"/>
  <c r="AF19" i="13" s="1"/>
  <c r="AS19" i="13" s="1"/>
  <c r="G19" i="13"/>
  <c r="AE19" i="13" s="1"/>
  <c r="AR19" i="13" s="1"/>
  <c r="F19" i="13"/>
  <c r="AD19" i="13" s="1"/>
  <c r="AQ19" i="13" s="1"/>
  <c r="M19" i="13"/>
  <c r="AK19" i="13" s="1"/>
  <c r="AX19" i="13" s="1"/>
  <c r="L19" i="13"/>
  <c r="AJ19" i="13" s="1"/>
  <c r="AW19" i="13" s="1"/>
  <c r="D19" i="13"/>
  <c r="AB19" i="13" s="1"/>
  <c r="AO19" i="13" s="1"/>
  <c r="I19" i="11"/>
  <c r="W19" i="11" s="1"/>
  <c r="H19" i="11"/>
  <c r="V19" i="11" s="1"/>
  <c r="E19" i="13"/>
  <c r="AC19" i="13" s="1"/>
  <c r="AP19" i="13" s="1"/>
  <c r="G19" i="11"/>
  <c r="U19" i="11" s="1"/>
  <c r="N19" i="11"/>
  <c r="AB19" i="11" s="1"/>
  <c r="F19" i="11"/>
  <c r="M19" i="11"/>
  <c r="AA19" i="11" s="1"/>
  <c r="S19" i="11"/>
  <c r="K19" i="11"/>
  <c r="Y19" i="11" s="1"/>
  <c r="D52" i="8"/>
  <c r="J19" i="11"/>
  <c r="X19" i="11" s="1"/>
  <c r="D19" i="11"/>
  <c r="R19" i="11" s="1"/>
  <c r="L19" i="11"/>
  <c r="Z19" i="11" s="1"/>
  <c r="T19" i="11" l="1"/>
  <c r="O19" i="11"/>
  <c r="AM14" i="1"/>
  <c r="AA14" i="1"/>
  <c r="Z12" i="18"/>
  <c r="AB12" i="18" s="1"/>
  <c r="AN12" i="18"/>
  <c r="AJ13" i="1"/>
  <c r="K20" i="13"/>
  <c r="AI20" i="13" s="1"/>
  <c r="AV20" i="13" s="1"/>
  <c r="C20" i="13"/>
  <c r="AA20" i="13" s="1"/>
  <c r="AN20" i="13" s="1"/>
  <c r="J20" i="13"/>
  <c r="AH20" i="13" s="1"/>
  <c r="AU20" i="13" s="1"/>
  <c r="I20" i="13"/>
  <c r="AG20" i="13" s="1"/>
  <c r="AT20" i="13" s="1"/>
  <c r="H20" i="13"/>
  <c r="AF20" i="13" s="1"/>
  <c r="AS20" i="13" s="1"/>
  <c r="G20" i="13"/>
  <c r="AE20" i="13" s="1"/>
  <c r="AR20" i="13" s="1"/>
  <c r="F20" i="13"/>
  <c r="AD20" i="13" s="1"/>
  <c r="AQ20" i="13" s="1"/>
  <c r="M20" i="13"/>
  <c r="AK20" i="13" s="1"/>
  <c r="AX20" i="13" s="1"/>
  <c r="E20" i="13"/>
  <c r="AC20" i="13" s="1"/>
  <c r="AP20" i="13" s="1"/>
  <c r="J20" i="11"/>
  <c r="X20" i="11" s="1"/>
  <c r="I20" i="11"/>
  <c r="W20" i="11" s="1"/>
  <c r="H20" i="11"/>
  <c r="V20" i="11" s="1"/>
  <c r="G20" i="11"/>
  <c r="U20" i="11" s="1"/>
  <c r="N20" i="11"/>
  <c r="AB20" i="11" s="1"/>
  <c r="F20" i="11"/>
  <c r="D20" i="13"/>
  <c r="AB20" i="13" s="1"/>
  <c r="AO20" i="13" s="1"/>
  <c r="L20" i="11"/>
  <c r="Z20" i="11" s="1"/>
  <c r="D20" i="11"/>
  <c r="R20" i="11" s="1"/>
  <c r="K20" i="11"/>
  <c r="Y20" i="11" s="1"/>
  <c r="D53" i="8"/>
  <c r="S20" i="11"/>
  <c r="L20" i="13"/>
  <c r="AJ20" i="13" s="1"/>
  <c r="AW20" i="13" s="1"/>
  <c r="M20" i="11"/>
  <c r="AA20" i="11" s="1"/>
  <c r="AN14" i="1"/>
  <c r="AO14" i="1" s="1"/>
  <c r="AD16" i="1"/>
  <c r="AH16" i="1" s="1"/>
  <c r="AH15" i="1"/>
  <c r="T20" i="11" l="1"/>
  <c r="O20" i="11"/>
  <c r="K21" i="13"/>
  <c r="AI21" i="13" s="1"/>
  <c r="AV21" i="13" s="1"/>
  <c r="C21" i="13"/>
  <c r="AA21" i="13" s="1"/>
  <c r="AN21" i="13" s="1"/>
  <c r="J21" i="13"/>
  <c r="AH21" i="13" s="1"/>
  <c r="AU21" i="13" s="1"/>
  <c r="I21" i="13"/>
  <c r="AG21" i="13" s="1"/>
  <c r="AT21" i="13" s="1"/>
  <c r="H21" i="13"/>
  <c r="AF21" i="13" s="1"/>
  <c r="AS21" i="13" s="1"/>
  <c r="G21" i="13"/>
  <c r="AE21" i="13" s="1"/>
  <c r="AR21" i="13" s="1"/>
  <c r="F21" i="13"/>
  <c r="AD21" i="13" s="1"/>
  <c r="AQ21" i="13" s="1"/>
  <c r="D21" i="13"/>
  <c r="AB21" i="13" s="1"/>
  <c r="AO21" i="13" s="1"/>
  <c r="L21" i="13"/>
  <c r="AJ21" i="13" s="1"/>
  <c r="AW21" i="13" s="1"/>
  <c r="M21" i="13"/>
  <c r="AK21" i="13" s="1"/>
  <c r="AX21" i="13" s="1"/>
  <c r="K21" i="11"/>
  <c r="Y21" i="11" s="1"/>
  <c r="E21" i="13"/>
  <c r="AC21" i="13" s="1"/>
  <c r="AP21" i="13" s="1"/>
  <c r="J21" i="11"/>
  <c r="X21" i="11" s="1"/>
  <c r="I21" i="11"/>
  <c r="W21" i="11" s="1"/>
  <c r="H21" i="11"/>
  <c r="V21" i="11" s="1"/>
  <c r="G21" i="11"/>
  <c r="U21" i="11" s="1"/>
  <c r="M21" i="11"/>
  <c r="AA21" i="11" s="1"/>
  <c r="S21" i="11"/>
  <c r="N21" i="11"/>
  <c r="AB21" i="11" s="1"/>
  <c r="L21" i="11"/>
  <c r="Z21" i="11" s="1"/>
  <c r="F21" i="11"/>
  <c r="D21" i="11"/>
  <c r="R21" i="11" s="1"/>
  <c r="D54" i="8"/>
  <c r="AJ15" i="1"/>
  <c r="AN15" i="1"/>
  <c r="AO15" i="1" s="1"/>
  <c r="AO16" i="1" s="1"/>
  <c r="AM15" i="1"/>
  <c r="AA15" i="1"/>
  <c r="AJ14" i="1"/>
  <c r="AN16" i="1"/>
  <c r="AD12" i="18"/>
  <c r="AG12" i="18"/>
  <c r="AH12" i="18"/>
  <c r="AF12" i="18"/>
  <c r="T21" i="11" l="1"/>
  <c r="O21" i="11"/>
  <c r="M22" i="13"/>
  <c r="AK22" i="13" s="1"/>
  <c r="AX22" i="13" s="1"/>
  <c r="L22" i="13"/>
  <c r="AJ22" i="13" s="1"/>
  <c r="AW22" i="13" s="1"/>
  <c r="K22" i="13"/>
  <c r="AI22" i="13" s="1"/>
  <c r="AV22" i="13" s="1"/>
  <c r="J22" i="13"/>
  <c r="AH22" i="13" s="1"/>
  <c r="AU22" i="13" s="1"/>
  <c r="I22" i="13"/>
  <c r="AG22" i="13" s="1"/>
  <c r="AT22" i="13" s="1"/>
  <c r="C22" i="13"/>
  <c r="AA22" i="13" s="1"/>
  <c r="AN22" i="13" s="1"/>
  <c r="H22" i="13"/>
  <c r="AF22" i="13" s="1"/>
  <c r="AS22" i="13" s="1"/>
  <c r="G22" i="13"/>
  <c r="AE22" i="13" s="1"/>
  <c r="AR22" i="13" s="1"/>
  <c r="F22" i="13"/>
  <c r="AD22" i="13" s="1"/>
  <c r="AQ22" i="13" s="1"/>
  <c r="E22" i="13"/>
  <c r="AC22" i="13" s="1"/>
  <c r="AP22" i="13" s="1"/>
  <c r="D22" i="13"/>
  <c r="AB22" i="13" s="1"/>
  <c r="AO22" i="13" s="1"/>
  <c r="L22" i="11"/>
  <c r="Z22" i="11" s="1"/>
  <c r="D22" i="11"/>
  <c r="R22" i="11" s="1"/>
  <c r="K22" i="11"/>
  <c r="Y22" i="11" s="1"/>
  <c r="J22" i="11"/>
  <c r="X22" i="11" s="1"/>
  <c r="I22" i="11"/>
  <c r="W22" i="11" s="1"/>
  <c r="H22" i="11"/>
  <c r="V22" i="11" s="1"/>
  <c r="N22" i="11"/>
  <c r="AB22" i="11" s="1"/>
  <c r="F22" i="11"/>
  <c r="M22" i="11"/>
  <c r="AA22" i="11" s="1"/>
  <c r="G22" i="11"/>
  <c r="U22" i="11" s="1"/>
  <c r="S22" i="11"/>
  <c r="D55" i="8"/>
  <c r="AI12" i="18"/>
  <c r="AK12" i="18"/>
  <c r="AM12" i="18" s="1"/>
  <c r="X13" i="18"/>
  <c r="AM16" i="1"/>
  <c r="AA16" i="1"/>
  <c r="T22" i="11" l="1"/>
  <c r="O22" i="11"/>
  <c r="AN13" i="18"/>
  <c r="Z13" i="18"/>
  <c r="F23" i="13"/>
  <c r="AD23" i="13" s="1"/>
  <c r="AQ23" i="13" s="1"/>
  <c r="M23" i="13"/>
  <c r="AK23" i="13" s="1"/>
  <c r="AX23" i="13" s="1"/>
  <c r="E23" i="13"/>
  <c r="AC23" i="13" s="1"/>
  <c r="AP23" i="13" s="1"/>
  <c r="L23" i="13"/>
  <c r="AJ23" i="13" s="1"/>
  <c r="AW23" i="13" s="1"/>
  <c r="D23" i="13"/>
  <c r="AB23" i="13" s="1"/>
  <c r="AO23" i="13" s="1"/>
  <c r="K23" i="13"/>
  <c r="AI23" i="13" s="1"/>
  <c r="AV23" i="13" s="1"/>
  <c r="C23" i="13"/>
  <c r="AA23" i="13" s="1"/>
  <c r="AN23" i="13" s="1"/>
  <c r="J23" i="13"/>
  <c r="AH23" i="13" s="1"/>
  <c r="AU23" i="13" s="1"/>
  <c r="I23" i="13"/>
  <c r="AG23" i="13" s="1"/>
  <c r="AT23" i="13" s="1"/>
  <c r="H23" i="13"/>
  <c r="AF23" i="13" s="1"/>
  <c r="AS23" i="13" s="1"/>
  <c r="G23" i="13"/>
  <c r="AE23" i="13" s="1"/>
  <c r="AR23" i="13" s="1"/>
  <c r="M23" i="11"/>
  <c r="AA23" i="11" s="1"/>
  <c r="S23" i="11"/>
  <c r="L23" i="11"/>
  <c r="Z23" i="11" s="1"/>
  <c r="D23" i="11"/>
  <c r="R23" i="11" s="1"/>
  <c r="K23" i="11"/>
  <c r="Y23" i="11" s="1"/>
  <c r="J23" i="11"/>
  <c r="X23" i="11" s="1"/>
  <c r="I23" i="11"/>
  <c r="W23" i="11" s="1"/>
  <c r="G23" i="11"/>
  <c r="U23" i="11" s="1"/>
  <c r="N23" i="11"/>
  <c r="AB23" i="11" s="1"/>
  <c r="H23" i="11"/>
  <c r="V23" i="11" s="1"/>
  <c r="F23" i="11"/>
  <c r="D56" i="8"/>
  <c r="AA17" i="1"/>
  <c r="AD17" i="1" s="1"/>
  <c r="AJ16" i="1"/>
  <c r="T23" i="11" l="1"/>
  <c r="O23" i="11"/>
  <c r="Z14" i="18"/>
  <c r="AB13" i="18"/>
  <c r="F24" i="13"/>
  <c r="AD24" i="13" s="1"/>
  <c r="AQ24" i="13" s="1"/>
  <c r="M24" i="13"/>
  <c r="AK24" i="13" s="1"/>
  <c r="AX24" i="13" s="1"/>
  <c r="E24" i="13"/>
  <c r="AC24" i="13" s="1"/>
  <c r="AP24" i="13" s="1"/>
  <c r="L24" i="13"/>
  <c r="AJ24" i="13" s="1"/>
  <c r="AW24" i="13" s="1"/>
  <c r="D24" i="13"/>
  <c r="AB24" i="13" s="1"/>
  <c r="AO24" i="13" s="1"/>
  <c r="K24" i="13"/>
  <c r="AI24" i="13" s="1"/>
  <c r="AV24" i="13" s="1"/>
  <c r="C24" i="13"/>
  <c r="AA24" i="13" s="1"/>
  <c r="AN24" i="13" s="1"/>
  <c r="J24" i="13"/>
  <c r="AH24" i="13" s="1"/>
  <c r="AU24" i="13" s="1"/>
  <c r="I24" i="13"/>
  <c r="AG24" i="13" s="1"/>
  <c r="AT24" i="13" s="1"/>
  <c r="H24" i="13"/>
  <c r="AF24" i="13" s="1"/>
  <c r="AS24" i="13" s="1"/>
  <c r="G24" i="13"/>
  <c r="AE24" i="13" s="1"/>
  <c r="AR24" i="13" s="1"/>
  <c r="N24" i="11"/>
  <c r="AB24" i="11" s="1"/>
  <c r="F24" i="11"/>
  <c r="M24" i="11"/>
  <c r="AA24" i="11" s="1"/>
  <c r="S24" i="11"/>
  <c r="L24" i="11"/>
  <c r="Z24" i="11" s="1"/>
  <c r="D24" i="11"/>
  <c r="R24" i="11" s="1"/>
  <c r="K24" i="11"/>
  <c r="Y24" i="11" s="1"/>
  <c r="J24" i="11"/>
  <c r="X24" i="11" s="1"/>
  <c r="H24" i="11"/>
  <c r="V24" i="11" s="1"/>
  <c r="D57" i="8"/>
  <c r="G24" i="11"/>
  <c r="U24" i="11" s="1"/>
  <c r="I24" i="11"/>
  <c r="W24" i="11" s="1"/>
  <c r="AD18" i="1"/>
  <c r="AH17" i="1"/>
  <c r="T24" i="11" l="1"/>
  <c r="O24" i="11"/>
  <c r="Z15" i="18"/>
  <c r="AB14" i="18"/>
  <c r="AG13" i="18"/>
  <c r="AF13" i="18"/>
  <c r="AH13" i="18"/>
  <c r="F25" i="13"/>
  <c r="AD25" i="13" s="1"/>
  <c r="AQ25" i="13" s="1"/>
  <c r="M25" i="13"/>
  <c r="AK25" i="13" s="1"/>
  <c r="AX25" i="13" s="1"/>
  <c r="E25" i="13"/>
  <c r="AC25" i="13" s="1"/>
  <c r="AP25" i="13" s="1"/>
  <c r="L25" i="13"/>
  <c r="AJ25" i="13" s="1"/>
  <c r="AW25" i="13" s="1"/>
  <c r="D25" i="13"/>
  <c r="AB25" i="13" s="1"/>
  <c r="AO25" i="13" s="1"/>
  <c r="K25" i="13"/>
  <c r="AI25" i="13" s="1"/>
  <c r="AV25" i="13" s="1"/>
  <c r="C25" i="13"/>
  <c r="AA25" i="13" s="1"/>
  <c r="AN25" i="13" s="1"/>
  <c r="J25" i="13"/>
  <c r="AH25" i="13" s="1"/>
  <c r="AU25" i="13" s="1"/>
  <c r="I25" i="13"/>
  <c r="AG25" i="13" s="1"/>
  <c r="AT25" i="13" s="1"/>
  <c r="H25" i="13"/>
  <c r="AF25" i="13" s="1"/>
  <c r="AS25" i="13" s="1"/>
  <c r="G25" i="13"/>
  <c r="AE25" i="13" s="1"/>
  <c r="AR25" i="13" s="1"/>
  <c r="G25" i="11"/>
  <c r="U25" i="11" s="1"/>
  <c r="N25" i="11"/>
  <c r="AB25" i="11" s="1"/>
  <c r="F25" i="11"/>
  <c r="M25" i="11"/>
  <c r="AA25" i="11" s="1"/>
  <c r="S25" i="11"/>
  <c r="L25" i="11"/>
  <c r="Z25" i="11" s="1"/>
  <c r="D25" i="11"/>
  <c r="R25" i="11" s="1"/>
  <c r="K25" i="11"/>
  <c r="Y25" i="11" s="1"/>
  <c r="I25" i="11"/>
  <c r="W25" i="11" s="1"/>
  <c r="D58" i="8"/>
  <c r="J25" i="11"/>
  <c r="X25" i="11" s="1"/>
  <c r="H25" i="11"/>
  <c r="V25" i="11" s="1"/>
  <c r="AD19" i="1"/>
  <c r="AH19" i="1" s="1"/>
  <c r="AH18" i="1"/>
  <c r="AJ17" i="1"/>
  <c r="AN17" i="1"/>
  <c r="AO17" i="1"/>
  <c r="AM17" i="1"/>
  <c r="T25" i="11" l="1"/>
  <c r="O25" i="11"/>
  <c r="AI13" i="18"/>
  <c r="AK13" i="18"/>
  <c r="AM13" i="18" s="1"/>
  <c r="AF14" i="18"/>
  <c r="X14" i="18"/>
  <c r="AN14" i="18" s="1"/>
  <c r="AJ18" i="1"/>
  <c r="AN18" i="1"/>
  <c r="Z16" i="18"/>
  <c r="AB16" i="18" s="1"/>
  <c r="AB15" i="18"/>
  <c r="AD13" i="18"/>
  <c r="AO18" i="1"/>
  <c r="AN19" i="1"/>
  <c r="AM18" i="1"/>
  <c r="AA18" i="1"/>
  <c r="F26" i="13"/>
  <c r="AD26" i="13" s="1"/>
  <c r="AQ26" i="13" s="1"/>
  <c r="M26" i="13"/>
  <c r="AK26" i="13" s="1"/>
  <c r="AX26" i="13" s="1"/>
  <c r="E26" i="13"/>
  <c r="AC26" i="13" s="1"/>
  <c r="AP26" i="13" s="1"/>
  <c r="L26" i="13"/>
  <c r="AJ26" i="13" s="1"/>
  <c r="AW26" i="13" s="1"/>
  <c r="D26" i="13"/>
  <c r="AB26" i="13" s="1"/>
  <c r="AO26" i="13" s="1"/>
  <c r="K26" i="13"/>
  <c r="AI26" i="13" s="1"/>
  <c r="AV26" i="13" s="1"/>
  <c r="C26" i="13"/>
  <c r="AA26" i="13" s="1"/>
  <c r="AN26" i="13" s="1"/>
  <c r="J26" i="13"/>
  <c r="AH26" i="13" s="1"/>
  <c r="AU26" i="13" s="1"/>
  <c r="I26" i="13"/>
  <c r="AG26" i="13" s="1"/>
  <c r="AT26" i="13" s="1"/>
  <c r="G26" i="13"/>
  <c r="AE26" i="13" s="1"/>
  <c r="AR26" i="13" s="1"/>
  <c r="H26" i="11"/>
  <c r="V26" i="11" s="1"/>
  <c r="G26" i="11"/>
  <c r="U26" i="11" s="1"/>
  <c r="N26" i="11"/>
  <c r="AB26" i="11" s="1"/>
  <c r="F26" i="11"/>
  <c r="M26" i="11"/>
  <c r="AA26" i="11" s="1"/>
  <c r="S26" i="11"/>
  <c r="L26" i="11"/>
  <c r="Z26" i="11" s="1"/>
  <c r="D26" i="11"/>
  <c r="R26" i="11" s="1"/>
  <c r="J26" i="11"/>
  <c r="X26" i="11" s="1"/>
  <c r="K26" i="11"/>
  <c r="Y26" i="11" s="1"/>
  <c r="I26" i="11"/>
  <c r="W26" i="11" s="1"/>
  <c r="D59" i="8"/>
  <c r="H26" i="13"/>
  <c r="AF26" i="13" s="1"/>
  <c r="AS26" i="13" s="1"/>
  <c r="AD14" i="18"/>
  <c r="AG14" i="18"/>
  <c r="AH14" i="18" s="1"/>
  <c r="T26" i="11" l="1"/>
  <c r="O26" i="11"/>
  <c r="AH15" i="18"/>
  <c r="AH16" i="18" s="1"/>
  <c r="AO19" i="1"/>
  <c r="AK14" i="18"/>
  <c r="AM14" i="18" s="1"/>
  <c r="AI14" i="18"/>
  <c r="AF15" i="18"/>
  <c r="AD15" i="18" s="1"/>
  <c r="X15" i="18"/>
  <c r="AN15" i="18" s="1"/>
  <c r="AM19" i="1"/>
  <c r="AA19" i="1"/>
  <c r="AG15" i="18"/>
  <c r="AG16" i="18"/>
  <c r="F27" i="13"/>
  <c r="AD27" i="13" s="1"/>
  <c r="AQ27" i="13" s="1"/>
  <c r="M27" i="13"/>
  <c r="AK27" i="13" s="1"/>
  <c r="AX27" i="13" s="1"/>
  <c r="E27" i="13"/>
  <c r="AC27" i="13" s="1"/>
  <c r="AP27" i="13" s="1"/>
  <c r="L27" i="13"/>
  <c r="AJ27" i="13" s="1"/>
  <c r="AW27" i="13" s="1"/>
  <c r="D27" i="13"/>
  <c r="AB27" i="13" s="1"/>
  <c r="AO27" i="13" s="1"/>
  <c r="K27" i="13"/>
  <c r="AI27" i="13" s="1"/>
  <c r="AV27" i="13" s="1"/>
  <c r="C27" i="13"/>
  <c r="AA27" i="13" s="1"/>
  <c r="AN27" i="13" s="1"/>
  <c r="J27" i="13"/>
  <c r="AH27" i="13" s="1"/>
  <c r="AU27" i="13" s="1"/>
  <c r="I27" i="13"/>
  <c r="AG27" i="13" s="1"/>
  <c r="AT27" i="13" s="1"/>
  <c r="H27" i="13"/>
  <c r="AF27" i="13" s="1"/>
  <c r="AS27" i="13" s="1"/>
  <c r="G27" i="13"/>
  <c r="AE27" i="13" s="1"/>
  <c r="AR27" i="13" s="1"/>
  <c r="H27" i="11"/>
  <c r="V27" i="11" s="1"/>
  <c r="G27" i="11"/>
  <c r="U27" i="11" s="1"/>
  <c r="N27" i="11"/>
  <c r="AB27" i="11" s="1"/>
  <c r="F27" i="11"/>
  <c r="M27" i="11"/>
  <c r="AA27" i="11" s="1"/>
  <c r="S27" i="11"/>
  <c r="L27" i="11"/>
  <c r="Z27" i="11" s="1"/>
  <c r="D27" i="11"/>
  <c r="R27" i="11" s="1"/>
  <c r="J27" i="11"/>
  <c r="X27" i="11" s="1"/>
  <c r="K27" i="11"/>
  <c r="Y27" i="11" s="1"/>
  <c r="D60" i="8"/>
  <c r="I27" i="11"/>
  <c r="W27" i="11" s="1"/>
  <c r="T27" i="11" l="1"/>
  <c r="O27" i="11"/>
  <c r="F28" i="13"/>
  <c r="M28" i="13"/>
  <c r="E28" i="13"/>
  <c r="L28" i="13"/>
  <c r="D28" i="13"/>
  <c r="K28" i="13"/>
  <c r="C28" i="13"/>
  <c r="J28" i="13"/>
  <c r="I28" i="13"/>
  <c r="H28" i="13"/>
  <c r="G28" i="13"/>
  <c r="H28" i="11"/>
  <c r="V28" i="11" s="1"/>
  <c r="G28" i="11"/>
  <c r="U28" i="11" s="1"/>
  <c r="N28" i="11"/>
  <c r="AB28" i="11" s="1"/>
  <c r="F28" i="11"/>
  <c r="M28" i="11"/>
  <c r="AA28" i="11" s="1"/>
  <c r="S28" i="11"/>
  <c r="L28" i="11"/>
  <c r="Z28" i="11" s="1"/>
  <c r="D28" i="11"/>
  <c r="R28" i="11" s="1"/>
  <c r="J28" i="11"/>
  <c r="X28" i="11" s="1"/>
  <c r="D61" i="8"/>
  <c r="K28" i="11"/>
  <c r="Y28" i="11" s="1"/>
  <c r="I28" i="11"/>
  <c r="W28" i="11" s="1"/>
  <c r="AK15" i="18"/>
  <c r="AM15" i="18" s="1"/>
  <c r="AI15" i="18"/>
  <c r="AF16" i="18"/>
  <c r="X16" i="18"/>
  <c r="AN16" i="18" s="1"/>
  <c r="AA20" i="1"/>
  <c r="AD20" i="1" s="1"/>
  <c r="AJ19" i="1"/>
  <c r="T28" i="11" l="1"/>
  <c r="O28" i="11"/>
  <c r="AK28" i="13"/>
  <c r="AX28" i="13" s="1"/>
  <c r="Y23" i="13"/>
  <c r="Y24" i="13"/>
  <c r="Y25" i="13"/>
  <c r="Y26" i="13"/>
  <c r="Y21" i="13"/>
  <c r="Y20" i="13"/>
  <c r="Y19" i="13"/>
  <c r="Y18" i="13"/>
  <c r="Y17" i="13"/>
  <c r="Y16" i="13"/>
  <c r="Y15" i="13"/>
  <c r="Y14" i="13"/>
  <c r="Y13" i="13"/>
  <c r="Y27" i="13"/>
  <c r="Y28" i="13"/>
  <c r="Y12" i="13"/>
  <c r="Y11" i="13"/>
  <c r="Y10" i="13"/>
  <c r="Y9" i="13"/>
  <c r="Y8" i="13"/>
  <c r="Y7" i="13"/>
  <c r="Y6" i="13"/>
  <c r="Y5" i="13"/>
  <c r="Y4" i="13"/>
  <c r="Y2" i="13"/>
  <c r="Y3" i="13"/>
  <c r="Y22" i="13"/>
  <c r="AI16" i="18"/>
  <c r="AK16" i="18"/>
  <c r="AM16" i="18" s="1"/>
  <c r="X17" i="18"/>
  <c r="AD16" i="18"/>
  <c r="AD28" i="13"/>
  <c r="AQ28" i="13" s="1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AJ28" i="13"/>
  <c r="AW28" i="13" s="1"/>
  <c r="X22" i="13"/>
  <c r="X23" i="13"/>
  <c r="X24" i="13"/>
  <c r="X25" i="13"/>
  <c r="X26" i="13"/>
  <c r="X21" i="13"/>
  <c r="X20" i="13"/>
  <c r="X19" i="13"/>
  <c r="X18" i="13"/>
  <c r="X17" i="13"/>
  <c r="X16" i="13"/>
  <c r="X15" i="13"/>
  <c r="X14" i="13"/>
  <c r="X13" i="13"/>
  <c r="X27" i="13"/>
  <c r="X28" i="13"/>
  <c r="X12" i="13"/>
  <c r="X11" i="13"/>
  <c r="X10" i="13"/>
  <c r="X9" i="13"/>
  <c r="X8" i="13"/>
  <c r="X7" i="13"/>
  <c r="X6" i="13"/>
  <c r="X5" i="13"/>
  <c r="X4" i="13"/>
  <c r="X2" i="13"/>
  <c r="X3" i="13"/>
  <c r="AC28" i="13"/>
  <c r="AP28" i="13" s="1"/>
  <c r="Q22" i="13"/>
  <c r="Q23" i="13"/>
  <c r="Q24" i="13"/>
  <c r="Q21" i="13"/>
  <c r="Q20" i="13"/>
  <c r="Q19" i="13"/>
  <c r="Q18" i="13"/>
  <c r="Q17" i="13"/>
  <c r="Q16" i="13"/>
  <c r="Q15" i="13"/>
  <c r="Q14" i="13"/>
  <c r="Q25" i="13"/>
  <c r="Q26" i="13"/>
  <c r="Q27" i="13"/>
  <c r="Q13" i="13"/>
  <c r="Q12" i="13"/>
  <c r="Q11" i="13"/>
  <c r="Q10" i="13"/>
  <c r="Q9" i="13"/>
  <c r="Q8" i="13"/>
  <c r="Q7" i="13"/>
  <c r="Q6" i="13"/>
  <c r="Q5" i="13"/>
  <c r="Q4" i="13"/>
  <c r="Q28" i="13"/>
  <c r="Q2" i="13"/>
  <c r="Q3" i="13"/>
  <c r="AD21" i="1"/>
  <c r="AH20" i="1"/>
  <c r="V28" i="13"/>
  <c r="V27" i="13"/>
  <c r="V26" i="13"/>
  <c r="V25" i="13"/>
  <c r="V24" i="13"/>
  <c r="V23" i="13"/>
  <c r="V22" i="13"/>
  <c r="AH28" i="13"/>
  <c r="AU28" i="13" s="1"/>
  <c r="V18" i="13"/>
  <c r="V19" i="13"/>
  <c r="V20" i="13"/>
  <c r="V21" i="13"/>
  <c r="V14" i="13"/>
  <c r="V16" i="13"/>
  <c r="V9" i="13"/>
  <c r="V10" i="13"/>
  <c r="V6" i="13"/>
  <c r="V17" i="13"/>
  <c r="V15" i="13"/>
  <c r="V11" i="13"/>
  <c r="V12" i="13"/>
  <c r="V7" i="13"/>
  <c r="V2" i="13"/>
  <c r="V13" i="13"/>
  <c r="V3" i="13"/>
  <c r="V8" i="13"/>
  <c r="V5" i="13"/>
  <c r="V4" i="13"/>
  <c r="AE28" i="13"/>
  <c r="AR28" i="13" s="1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2" i="13"/>
  <c r="S3" i="13"/>
  <c r="O28" i="13"/>
  <c r="O27" i="13"/>
  <c r="O26" i="13"/>
  <c r="O25" i="13"/>
  <c r="O24" i="13"/>
  <c r="O23" i="13"/>
  <c r="O22" i="13"/>
  <c r="AA28" i="13"/>
  <c r="AN28" i="13" s="1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2" i="13"/>
  <c r="O3" i="13"/>
  <c r="W28" i="13"/>
  <c r="W27" i="13"/>
  <c r="W26" i="13"/>
  <c r="W25" i="13"/>
  <c r="W24" i="13"/>
  <c r="W23" i="13"/>
  <c r="W22" i="13"/>
  <c r="AI28" i="13"/>
  <c r="AV28" i="13" s="1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2" i="13"/>
  <c r="W3" i="13"/>
  <c r="AF28" i="13"/>
  <c r="AS28" i="13" s="1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9" i="13"/>
  <c r="T5" i="13"/>
  <c r="T10" i="13"/>
  <c r="T11" i="13"/>
  <c r="T6" i="13"/>
  <c r="T12" i="13"/>
  <c r="T3" i="13"/>
  <c r="T7" i="13"/>
  <c r="T2" i="13"/>
  <c r="T13" i="13"/>
  <c r="T8" i="13"/>
  <c r="T4" i="13"/>
  <c r="U28" i="13"/>
  <c r="U27" i="13"/>
  <c r="U26" i="13"/>
  <c r="U25" i="13"/>
  <c r="U24" i="13"/>
  <c r="U23" i="13"/>
  <c r="U22" i="13"/>
  <c r="AG28" i="13"/>
  <c r="AT28" i="13" s="1"/>
  <c r="U17" i="13"/>
  <c r="U18" i="13"/>
  <c r="U19" i="13"/>
  <c r="U20" i="13"/>
  <c r="U21" i="13"/>
  <c r="U15" i="13"/>
  <c r="U13" i="13"/>
  <c r="U12" i="13"/>
  <c r="U11" i="13"/>
  <c r="U10" i="13"/>
  <c r="U9" i="13"/>
  <c r="U5" i="13"/>
  <c r="U6" i="13"/>
  <c r="U7" i="13"/>
  <c r="U2" i="13"/>
  <c r="U16" i="13"/>
  <c r="U8" i="13"/>
  <c r="U4" i="13"/>
  <c r="U14" i="13"/>
  <c r="U3" i="13"/>
  <c r="AB28" i="13"/>
  <c r="AO28" i="13" s="1"/>
  <c r="P28" i="13"/>
  <c r="P22" i="13"/>
  <c r="P23" i="13"/>
  <c r="P24" i="13"/>
  <c r="P21" i="13"/>
  <c r="P20" i="13"/>
  <c r="P19" i="13"/>
  <c r="P18" i="13"/>
  <c r="P17" i="13"/>
  <c r="P16" i="13"/>
  <c r="P15" i="13"/>
  <c r="P14" i="13"/>
  <c r="P25" i="13"/>
  <c r="P27" i="13"/>
  <c r="P13" i="13"/>
  <c r="P12" i="13"/>
  <c r="P11" i="13"/>
  <c r="P10" i="13"/>
  <c r="P9" i="13"/>
  <c r="P8" i="13"/>
  <c r="P7" i="13"/>
  <c r="P6" i="13"/>
  <c r="P5" i="13"/>
  <c r="P4" i="13"/>
  <c r="P26" i="13"/>
  <c r="P2" i="13"/>
  <c r="P3" i="13"/>
  <c r="AN17" i="18" l="1"/>
  <c r="Z17" i="18"/>
  <c r="BC28" i="13"/>
  <c r="BC27" i="13"/>
  <c r="BC26" i="13"/>
  <c r="BC25" i="13"/>
  <c r="BC24" i="13"/>
  <c r="BC23" i="13"/>
  <c r="BC22" i="13"/>
  <c r="BC21" i="13"/>
  <c r="BC20" i="13"/>
  <c r="BC19" i="13"/>
  <c r="BC18" i="13"/>
  <c r="BC17" i="13"/>
  <c r="BC16" i="13"/>
  <c r="BC15" i="13"/>
  <c r="BC14" i="13"/>
  <c r="BC13" i="13"/>
  <c r="BC12" i="13"/>
  <c r="BC11" i="13"/>
  <c r="BC10" i="13"/>
  <c r="BC9" i="13"/>
  <c r="BC8" i="13"/>
  <c r="BC7" i="13"/>
  <c r="BC6" i="13"/>
  <c r="BC5" i="13"/>
  <c r="BC4" i="13"/>
  <c r="BC3" i="13"/>
  <c r="AZ28" i="13"/>
  <c r="AZ22" i="13"/>
  <c r="AZ23" i="13"/>
  <c r="AZ24" i="13"/>
  <c r="AZ21" i="13"/>
  <c r="AZ20" i="13"/>
  <c r="AZ19" i="13"/>
  <c r="AZ18" i="13"/>
  <c r="AZ17" i="13"/>
  <c r="AZ16" i="13"/>
  <c r="AZ15" i="13"/>
  <c r="AZ14" i="13"/>
  <c r="AZ13" i="13"/>
  <c r="AZ25" i="13"/>
  <c r="AZ27" i="13"/>
  <c r="AZ12" i="13"/>
  <c r="AZ11" i="13"/>
  <c r="AZ10" i="13"/>
  <c r="AZ9" i="13"/>
  <c r="AZ8" i="13"/>
  <c r="AZ7" i="13"/>
  <c r="AZ6" i="13"/>
  <c r="AZ5" i="13"/>
  <c r="AZ4" i="13"/>
  <c r="AZ3" i="13"/>
  <c r="AZ26" i="13"/>
  <c r="BB28" i="13"/>
  <c r="BB27" i="13"/>
  <c r="BB26" i="13"/>
  <c r="BB25" i="13"/>
  <c r="BB24" i="13"/>
  <c r="BB23" i="13"/>
  <c r="BB22" i="13"/>
  <c r="BB21" i="13"/>
  <c r="BB20" i="13"/>
  <c r="BB19" i="13"/>
  <c r="BB18" i="13"/>
  <c r="BB17" i="13"/>
  <c r="BB16" i="13"/>
  <c r="BB15" i="13"/>
  <c r="BB14" i="13"/>
  <c r="BB13" i="13"/>
  <c r="BB12" i="13"/>
  <c r="BB11" i="13"/>
  <c r="BB10" i="13"/>
  <c r="BB9" i="13"/>
  <c r="BB8" i="13"/>
  <c r="BB7" i="13"/>
  <c r="BB6" i="13"/>
  <c r="BB5" i="13"/>
  <c r="BB4" i="13"/>
  <c r="BB3" i="13"/>
  <c r="BG28" i="13"/>
  <c r="BG27" i="13"/>
  <c r="BG26" i="13"/>
  <c r="BG25" i="13"/>
  <c r="BG24" i="13"/>
  <c r="BG23" i="13"/>
  <c r="BG22" i="13"/>
  <c r="BG21" i="13"/>
  <c r="BG20" i="13"/>
  <c r="BG19" i="13"/>
  <c r="BG18" i="13"/>
  <c r="BG17" i="13"/>
  <c r="BG16" i="13"/>
  <c r="BG15" i="13"/>
  <c r="BG14" i="13"/>
  <c r="BG13" i="13"/>
  <c r="BG12" i="13"/>
  <c r="BG11" i="13"/>
  <c r="BG10" i="13"/>
  <c r="BG9" i="13"/>
  <c r="BG8" i="13"/>
  <c r="BG7" i="13"/>
  <c r="BG6" i="13"/>
  <c r="BG5" i="13"/>
  <c r="BG4" i="13"/>
  <c r="BG3" i="13"/>
  <c r="AN20" i="1"/>
  <c r="AO20" i="1"/>
  <c r="AM20" i="1"/>
  <c r="AJ20" i="1" s="1"/>
  <c r="BF28" i="13"/>
  <c r="BF27" i="13"/>
  <c r="BF26" i="13"/>
  <c r="BF25" i="13"/>
  <c r="BF24" i="13"/>
  <c r="BF23" i="13"/>
  <c r="BF22" i="13"/>
  <c r="BF18" i="13"/>
  <c r="BF19" i="13"/>
  <c r="BF20" i="13"/>
  <c r="BF21" i="13"/>
  <c r="BF13" i="13"/>
  <c r="BF14" i="13"/>
  <c r="BF16" i="13"/>
  <c r="BF17" i="13"/>
  <c r="BF15" i="13"/>
  <c r="BF9" i="13"/>
  <c r="BF10" i="13"/>
  <c r="BF8" i="13"/>
  <c r="BF4" i="13"/>
  <c r="BF11" i="13"/>
  <c r="BF12" i="13"/>
  <c r="BF5" i="13"/>
  <c r="BF3" i="13"/>
  <c r="BF7" i="13"/>
  <c r="BF6" i="13"/>
  <c r="BH22" i="13"/>
  <c r="BH23" i="13"/>
  <c r="BH24" i="13"/>
  <c r="BH25" i="13"/>
  <c r="BH26" i="13"/>
  <c r="BH21" i="13"/>
  <c r="BH20" i="13"/>
  <c r="BH19" i="13"/>
  <c r="BH18" i="13"/>
  <c r="BH17" i="13"/>
  <c r="BH16" i="13"/>
  <c r="BH15" i="13"/>
  <c r="BH14" i="13"/>
  <c r="BH13" i="13"/>
  <c r="BH27" i="13"/>
  <c r="BH28" i="13"/>
  <c r="BH12" i="13"/>
  <c r="BH11" i="13"/>
  <c r="BH10" i="13"/>
  <c r="BH9" i="13"/>
  <c r="BH8" i="13"/>
  <c r="BH7" i="13"/>
  <c r="BH6" i="13"/>
  <c r="BH5" i="13"/>
  <c r="BH4" i="13"/>
  <c r="BH3" i="13"/>
  <c r="AD22" i="1"/>
  <c r="AH21" i="1"/>
  <c r="BI23" i="13"/>
  <c r="BI24" i="13"/>
  <c r="BI25" i="13"/>
  <c r="BI26" i="13"/>
  <c r="BI21" i="13"/>
  <c r="BI20" i="13"/>
  <c r="BI19" i="13"/>
  <c r="BI18" i="13"/>
  <c r="BI17" i="13"/>
  <c r="BI16" i="13"/>
  <c r="BI15" i="13"/>
  <c r="BI14" i="13"/>
  <c r="BI13" i="13"/>
  <c r="BI27" i="13"/>
  <c r="BI28" i="13"/>
  <c r="BI12" i="13"/>
  <c r="BI11" i="13"/>
  <c r="BI10" i="13"/>
  <c r="BI9" i="13"/>
  <c r="BI8" i="13"/>
  <c r="BI7" i="13"/>
  <c r="BI6" i="13"/>
  <c r="BI5" i="13"/>
  <c r="BI4" i="13"/>
  <c r="BI3" i="13"/>
  <c r="BI22" i="13"/>
  <c r="BD28" i="13"/>
  <c r="BD27" i="13"/>
  <c r="BD26" i="13"/>
  <c r="BD25" i="13"/>
  <c r="BD24" i="13"/>
  <c r="BD23" i="13"/>
  <c r="BD22" i="13"/>
  <c r="BD21" i="13"/>
  <c r="BD20" i="13"/>
  <c r="BD19" i="13"/>
  <c r="BD18" i="13"/>
  <c r="BD17" i="13"/>
  <c r="BD16" i="13"/>
  <c r="BD15" i="13"/>
  <c r="BD14" i="13"/>
  <c r="BD13" i="13"/>
  <c r="BD9" i="13"/>
  <c r="BD7" i="13"/>
  <c r="BD3" i="13"/>
  <c r="BD10" i="13"/>
  <c r="BD11" i="13"/>
  <c r="BD8" i="13"/>
  <c r="BD4" i="13"/>
  <c r="BD12" i="13"/>
  <c r="BD5" i="13"/>
  <c r="BD6" i="13"/>
  <c r="BA22" i="13"/>
  <c r="BA23" i="13"/>
  <c r="BA24" i="13"/>
  <c r="BA21" i="13"/>
  <c r="BA20" i="13"/>
  <c r="BA19" i="13"/>
  <c r="BA18" i="13"/>
  <c r="BA17" i="13"/>
  <c r="BA16" i="13"/>
  <c r="BA15" i="13"/>
  <c r="BA14" i="13"/>
  <c r="BA13" i="13"/>
  <c r="BA25" i="13"/>
  <c r="BA26" i="13"/>
  <c r="BA12" i="13"/>
  <c r="BA11" i="13"/>
  <c r="BA10" i="13"/>
  <c r="BA9" i="13"/>
  <c r="BA8" i="13"/>
  <c r="BA7" i="13"/>
  <c r="BA6" i="13"/>
  <c r="BA5" i="13"/>
  <c r="BA4" i="13"/>
  <c r="BA3" i="13"/>
  <c r="BA28" i="13"/>
  <c r="BA27" i="13"/>
  <c r="BE28" i="13"/>
  <c r="BE27" i="13"/>
  <c r="BE26" i="13"/>
  <c r="BE25" i="13"/>
  <c r="BE24" i="13"/>
  <c r="BE23" i="13"/>
  <c r="BE22" i="13"/>
  <c r="BE17" i="13"/>
  <c r="BE18" i="13"/>
  <c r="BE19" i="13"/>
  <c r="BE20" i="13"/>
  <c r="BE21" i="13"/>
  <c r="BE13" i="13"/>
  <c r="BE15" i="13"/>
  <c r="BE12" i="13"/>
  <c r="BE11" i="13"/>
  <c r="BE10" i="13"/>
  <c r="BE9" i="13"/>
  <c r="BE7" i="13"/>
  <c r="BE3" i="13"/>
  <c r="BE8" i="13"/>
  <c r="BE4" i="13"/>
  <c r="BE16" i="13"/>
  <c r="BE5" i="13"/>
  <c r="BE6" i="13"/>
  <c r="BE14" i="13"/>
  <c r="BJ28" i="13"/>
  <c r="BJ27" i="13"/>
  <c r="BJ26" i="13"/>
  <c r="BJ25" i="13"/>
  <c r="BJ24" i="13"/>
  <c r="BJ23" i="13"/>
  <c r="BJ22" i="13"/>
  <c r="BJ21" i="13"/>
  <c r="BJ20" i="13"/>
  <c r="BJ19" i="13"/>
  <c r="BJ18" i="13"/>
  <c r="BJ17" i="13"/>
  <c r="BJ16" i="13"/>
  <c r="BJ15" i="13"/>
  <c r="BJ14" i="13"/>
  <c r="BJ13" i="13"/>
  <c r="BJ12" i="13"/>
  <c r="BJ11" i="13"/>
  <c r="BJ10" i="13"/>
  <c r="BJ9" i="13"/>
  <c r="BJ8" i="13"/>
  <c r="BJ7" i="13"/>
  <c r="BJ6" i="13"/>
  <c r="BJ5" i="13"/>
  <c r="BJ4" i="13"/>
  <c r="BJ3" i="13"/>
  <c r="AN21" i="1" l="1"/>
  <c r="AD23" i="1"/>
  <c r="AH22" i="1"/>
  <c r="AO21" i="1"/>
  <c r="AB17" i="18"/>
  <c r="Z18" i="18"/>
  <c r="AM21" i="1"/>
  <c r="AA21" i="1"/>
  <c r="AD24" i="1" l="1"/>
  <c r="AH24" i="1" s="1"/>
  <c r="AH23" i="1"/>
  <c r="AM22" i="1"/>
  <c r="AA22" i="1"/>
  <c r="AJ22" i="1"/>
  <c r="AN22" i="1"/>
  <c r="AO22" i="1" s="1"/>
  <c r="AJ21" i="1"/>
  <c r="Z19" i="18"/>
  <c r="AB19" i="18" s="1"/>
  <c r="AB18" i="18"/>
  <c r="AD17" i="18"/>
  <c r="AG17" i="18"/>
  <c r="AH17" i="18"/>
  <c r="AF17" i="18"/>
  <c r="AN23" i="1" l="1"/>
  <c r="AO23" i="1" s="1"/>
  <c r="AO24" i="1" s="1"/>
  <c r="AM23" i="1"/>
  <c r="AA23" i="1"/>
  <c r="AG18" i="18"/>
  <c r="AH18" i="18" s="1"/>
  <c r="AH19" i="18" s="1"/>
  <c r="AN24" i="1"/>
  <c r="AI17" i="18"/>
  <c r="AF18" i="18"/>
  <c r="AD18" i="18" s="1"/>
  <c r="X18" i="18"/>
  <c r="AN18" i="18" s="1"/>
  <c r="AK17" i="18"/>
  <c r="AM17" i="18" s="1"/>
  <c r="AG19" i="18"/>
  <c r="AM24" i="1" l="1"/>
  <c r="AA24" i="1"/>
  <c r="AJ23" i="1"/>
  <c r="AK18" i="18"/>
  <c r="AM18" i="18" s="1"/>
  <c r="AI18" i="18"/>
  <c r="AF19" i="18"/>
  <c r="X19" i="18"/>
  <c r="AN19" i="18" s="1"/>
  <c r="AK19" i="18" l="1"/>
  <c r="AM19" i="18" s="1"/>
  <c r="AI19" i="18"/>
  <c r="X20" i="18"/>
  <c r="AD19" i="18"/>
  <c r="AA25" i="1"/>
  <c r="AD25" i="1" s="1"/>
  <c r="AJ24" i="1"/>
  <c r="Z20" i="18" l="1"/>
  <c r="AN20" i="18"/>
  <c r="AD26" i="1"/>
  <c r="AH25" i="1"/>
  <c r="AN25" i="1" l="1"/>
  <c r="AO25" i="1"/>
  <c r="AM25" i="1"/>
  <c r="AD27" i="1"/>
  <c r="AH26" i="1"/>
  <c r="Z21" i="18"/>
  <c r="AB20" i="18"/>
  <c r="AM26" i="1" l="1"/>
  <c r="AJ26" i="1" s="1"/>
  <c r="AA26" i="1"/>
  <c r="Z22" i="18"/>
  <c r="AB21" i="18"/>
  <c r="AH27" i="1"/>
  <c r="AD28" i="1"/>
  <c r="AH28" i="1" s="1"/>
  <c r="AG20" i="18"/>
  <c r="AH20" i="18"/>
  <c r="AF20" i="18"/>
  <c r="AN26" i="1"/>
  <c r="AO26" i="1" s="1"/>
  <c r="AJ25" i="1"/>
  <c r="AG21" i="18" l="1"/>
  <c r="AN28" i="1"/>
  <c r="AN27" i="1"/>
  <c r="AO27" i="1" s="1"/>
  <c r="AO28" i="1" s="1"/>
  <c r="Z23" i="18"/>
  <c r="AB22" i="18"/>
  <c r="AI20" i="18"/>
  <c r="AF21" i="18"/>
  <c r="AD21" i="18" s="1"/>
  <c r="AK20" i="18"/>
  <c r="AM20" i="18" s="1"/>
  <c r="X21" i="18"/>
  <c r="AN21" i="18" s="1"/>
  <c r="AH21" i="18"/>
  <c r="AM27" i="1"/>
  <c r="AA27" i="1"/>
  <c r="AD20" i="18"/>
  <c r="Z24" i="18" l="1"/>
  <c r="AB24" i="18" s="1"/>
  <c r="AB23" i="18"/>
  <c r="AM28" i="1"/>
  <c r="AA28" i="1"/>
  <c r="AH22" i="18"/>
  <c r="AJ27" i="1"/>
  <c r="AF22" i="18"/>
  <c r="AI21" i="18"/>
  <c r="AK21" i="18"/>
  <c r="AM21" i="18" s="1"/>
  <c r="X22" i="18"/>
  <c r="AN22" i="18" s="1"/>
  <c r="AG22" i="18"/>
  <c r="AA29" i="1" l="1"/>
  <c r="AD29" i="1" s="1"/>
  <c r="AJ28" i="1"/>
  <c r="AG24" i="18"/>
  <c r="AK22" i="18"/>
  <c r="AM22" i="18" s="1"/>
  <c r="AI22" i="18"/>
  <c r="AF23" i="18"/>
  <c r="X23" i="18"/>
  <c r="AN23" i="18" s="1"/>
  <c r="AD22" i="18"/>
  <c r="AD23" i="18"/>
  <c r="AG23" i="18"/>
  <c r="AH23" i="18" s="1"/>
  <c r="AH24" i="18" s="1"/>
  <c r="AH29" i="1" l="1"/>
  <c r="AD30" i="1"/>
  <c r="AF24" i="18"/>
  <c r="AK23" i="18"/>
  <c r="AM23" i="18" s="1"/>
  <c r="AI23" i="18"/>
  <c r="X24" i="18"/>
  <c r="AN24" i="18" s="1"/>
  <c r="AI24" i="18" l="1"/>
  <c r="AK24" i="18"/>
  <c r="AM24" i="18" s="1"/>
  <c r="X25" i="18"/>
  <c r="AD24" i="18"/>
  <c r="AN29" i="1"/>
  <c r="AO29" i="1" s="1"/>
  <c r="AM29" i="1"/>
  <c r="AJ29" i="1" s="1"/>
  <c r="AH30" i="1"/>
  <c r="AD31" i="1"/>
  <c r="AN25" i="18" l="1"/>
  <c r="Z25" i="18"/>
  <c r="AD32" i="1"/>
  <c r="AH32" i="1" s="1"/>
  <c r="AH31" i="1"/>
  <c r="AN30" i="1"/>
  <c r="AO30" i="1" s="1"/>
  <c r="AM30" i="1"/>
  <c r="AA30" i="1"/>
  <c r="AN31" i="1" l="1"/>
  <c r="AO31" i="1" s="1"/>
  <c r="AM31" i="1"/>
  <c r="AA31" i="1"/>
  <c r="AJ30" i="1"/>
  <c r="AN32" i="1"/>
  <c r="Z26" i="18"/>
  <c r="AB25" i="18"/>
  <c r="AO32" i="1" l="1"/>
  <c r="AM32" i="1"/>
  <c r="AA32" i="1"/>
  <c r="AG25" i="18"/>
  <c r="AH25" i="18" s="1"/>
  <c r="AF25" i="18"/>
  <c r="AJ31" i="1"/>
  <c r="Z27" i="18"/>
  <c r="AB26" i="18"/>
  <c r="AF26" i="18" l="1"/>
  <c r="AK25" i="18"/>
  <c r="AM25" i="18" s="1"/>
  <c r="AI25" i="18"/>
  <c r="X26" i="18"/>
  <c r="AN26" i="18" s="1"/>
  <c r="AD25" i="18"/>
  <c r="AA33" i="1"/>
  <c r="AD33" i="1" s="1"/>
  <c r="AH33" i="1" s="1"/>
  <c r="AM33" i="1" s="1"/>
  <c r="AJ32" i="1"/>
  <c r="AG26" i="18"/>
  <c r="AH26" i="18" s="1"/>
  <c r="AD26" i="18"/>
  <c r="AB27" i="18"/>
  <c r="Z28" i="18"/>
  <c r="AB28" i="18" s="1"/>
  <c r="AA34" i="1" l="1"/>
  <c r="AD34" i="1" s="1"/>
  <c r="AJ33" i="1"/>
  <c r="AN33" i="1"/>
  <c r="AO33" i="1"/>
  <c r="AG28" i="18"/>
  <c r="AG27" i="18"/>
  <c r="AH27" i="18" s="1"/>
  <c r="AH28" i="18" s="1"/>
  <c r="AF27" i="18"/>
  <c r="AI26" i="18"/>
  <c r="AK26" i="18"/>
  <c r="AM26" i="18" s="1"/>
  <c r="X27" i="18"/>
  <c r="AN27" i="18" s="1"/>
  <c r="AH34" i="1" l="1"/>
  <c r="AD35" i="1"/>
  <c r="AF28" i="18"/>
  <c r="AK27" i="18"/>
  <c r="AM27" i="18" s="1"/>
  <c r="AI27" i="18"/>
  <c r="X28" i="18"/>
  <c r="AN28" i="18" s="1"/>
  <c r="AD27" i="18"/>
  <c r="AK28" i="18" l="1"/>
  <c r="AM28" i="18" s="1"/>
  <c r="AI28" i="18"/>
  <c r="X29" i="18"/>
  <c r="AD28" i="18"/>
  <c r="AD36" i="1"/>
  <c r="AH36" i="1" s="1"/>
  <c r="AH35" i="1"/>
  <c r="AN34" i="1"/>
  <c r="AO34" i="1" s="1"/>
  <c r="AM34" i="1"/>
  <c r="AJ34" i="1" s="1"/>
  <c r="AN36" i="1" l="1"/>
  <c r="AN35" i="1"/>
  <c r="AO35" i="1" s="1"/>
  <c r="AO36" i="1" s="1"/>
  <c r="Z29" i="18"/>
  <c r="AN29" i="18"/>
  <c r="AM35" i="1"/>
  <c r="AA35" i="1"/>
  <c r="AM36" i="1" l="1"/>
  <c r="AA36" i="1"/>
  <c r="AB29" i="18"/>
  <c r="Z30" i="18"/>
  <c r="AJ35" i="1"/>
  <c r="Z31" i="18" l="1"/>
  <c r="AB30" i="18"/>
  <c r="AG29" i="18"/>
  <c r="AH29" i="18"/>
  <c r="AF29" i="18"/>
  <c r="AA37" i="1"/>
  <c r="AD37" i="1" s="1"/>
  <c r="AH37" i="1" s="1"/>
  <c r="AM37" i="1" s="1"/>
  <c r="AJ36" i="1"/>
  <c r="AA38" i="1" l="1"/>
  <c r="AD38" i="1" s="1"/>
  <c r="AJ37" i="1"/>
  <c r="AN37" i="1"/>
  <c r="AO37" i="1" s="1"/>
  <c r="AK29" i="18"/>
  <c r="AM29" i="18" s="1"/>
  <c r="AI29" i="18"/>
  <c r="AF30" i="18"/>
  <c r="AD30" i="18" s="1"/>
  <c r="X30" i="18"/>
  <c r="AN30" i="18" s="1"/>
  <c r="AD29" i="18"/>
  <c r="AG30" i="18"/>
  <c r="AH30" i="18" s="1"/>
  <c r="Z32" i="18"/>
  <c r="AB32" i="18" s="1"/>
  <c r="AB31" i="18"/>
  <c r="AG31" i="18" l="1"/>
  <c r="AH31" i="18" s="1"/>
  <c r="AG32" i="18"/>
  <c r="AF31" i="18"/>
  <c r="AK30" i="18"/>
  <c r="AM30" i="18" s="1"/>
  <c r="AI30" i="18"/>
  <c r="X31" i="18"/>
  <c r="AN31" i="18" s="1"/>
  <c r="AD39" i="1"/>
  <c r="AH38" i="1"/>
  <c r="AH32" i="18" l="1"/>
  <c r="AF32" i="18"/>
  <c r="AK31" i="18"/>
  <c r="AM31" i="18" s="1"/>
  <c r="AI31" i="18"/>
  <c r="X32" i="18"/>
  <c r="AN32" i="18" s="1"/>
  <c r="AN38" i="1"/>
  <c r="AM38" i="1"/>
  <c r="AO38" i="1"/>
  <c r="AD40" i="1"/>
  <c r="AH40" i="1" s="1"/>
  <c r="AH39" i="1"/>
  <c r="AD31" i="18"/>
  <c r="AN39" i="1" l="1"/>
  <c r="AO39" i="1" s="1"/>
  <c r="AM39" i="1"/>
  <c r="AA39" i="1"/>
  <c r="AJ38" i="1"/>
  <c r="AN40" i="1"/>
  <c r="AK32" i="18"/>
  <c r="AM32" i="18" s="1"/>
  <c r="AI32" i="18"/>
  <c r="X33" i="18"/>
  <c r="AD32" i="18"/>
  <c r="AO40" i="1" l="1"/>
  <c r="AN33" i="18"/>
  <c r="Z33" i="18"/>
  <c r="AB33" i="18" s="1"/>
  <c r="AM40" i="1"/>
  <c r="AA40" i="1"/>
  <c r="AJ39" i="1"/>
  <c r="AA41" i="1" l="1"/>
  <c r="AD41" i="1" s="1"/>
  <c r="AJ40" i="1"/>
  <c r="AG33" i="18"/>
  <c r="AH33" i="18"/>
  <c r="AF33" i="18"/>
  <c r="AD42" i="1" l="1"/>
  <c r="AH42" i="1" s="1"/>
  <c r="AH41" i="1"/>
  <c r="AK33" i="18"/>
  <c r="AM33" i="18" s="1"/>
  <c r="AI33" i="18"/>
  <c r="X34" i="18"/>
  <c r="AD33" i="18"/>
  <c r="AN41" i="1" l="1"/>
  <c r="AO41" i="1" s="1"/>
  <c r="AM41" i="1"/>
  <c r="Z34" i="18"/>
  <c r="AN34" i="18"/>
  <c r="AN42" i="1"/>
  <c r="AO42" i="1" l="1"/>
  <c r="Z35" i="18"/>
  <c r="AB34" i="18"/>
  <c r="AM42" i="1"/>
  <c r="AA42" i="1"/>
  <c r="AJ41" i="1"/>
  <c r="AG34" i="18" l="1"/>
  <c r="AH34" i="18" s="1"/>
  <c r="AF34" i="18"/>
  <c r="AA43" i="1"/>
  <c r="AD43" i="1" s="1"/>
  <c r="AJ42" i="1"/>
  <c r="AB35" i="18"/>
  <c r="Z36" i="18"/>
  <c r="AB36" i="18" s="1"/>
  <c r="AG35" i="18" l="1"/>
  <c r="AH35" i="18" s="1"/>
  <c r="AD44" i="1"/>
  <c r="AH43" i="1"/>
  <c r="AI34" i="18"/>
  <c r="AF35" i="18"/>
  <c r="AD35" i="18" s="1"/>
  <c r="AK34" i="18"/>
  <c r="AM34" i="18" s="1"/>
  <c r="X35" i="18"/>
  <c r="AN35" i="18" s="1"/>
  <c r="AG36" i="18"/>
  <c r="AD34" i="18"/>
  <c r="AH36" i="18" l="1"/>
  <c r="AN43" i="1"/>
  <c r="AO43" i="1" s="1"/>
  <c r="AM43" i="1"/>
  <c r="AF36" i="18"/>
  <c r="AK35" i="18"/>
  <c r="AM35" i="18" s="1"/>
  <c r="AI35" i="18"/>
  <c r="X36" i="18"/>
  <c r="AN36" i="18" s="1"/>
  <c r="AH44" i="1"/>
  <c r="AD45" i="1"/>
  <c r="AK36" i="18" l="1"/>
  <c r="AM36" i="18" s="1"/>
  <c r="AI36" i="18"/>
  <c r="X37" i="18"/>
  <c r="AD36" i="18"/>
  <c r="AM44" i="1"/>
  <c r="AJ44" i="1" s="1"/>
  <c r="AA44" i="1"/>
  <c r="AD46" i="1"/>
  <c r="AH45" i="1"/>
  <c r="AJ43" i="1"/>
  <c r="AN44" i="1"/>
  <c r="AO44" i="1" s="1"/>
  <c r="AD47" i="1" l="1"/>
  <c r="AH47" i="1" s="1"/>
  <c r="AH46" i="1"/>
  <c r="AM45" i="1"/>
  <c r="AA45" i="1"/>
  <c r="Z37" i="18"/>
  <c r="AB37" i="18" s="1"/>
  <c r="AN37" i="18"/>
  <c r="AJ45" i="1"/>
  <c r="AN45" i="1"/>
  <c r="AO45" i="1" s="1"/>
  <c r="AG37" i="18" l="1"/>
  <c r="AH37" i="18" s="1"/>
  <c r="AF37" i="18"/>
  <c r="AN47" i="1"/>
  <c r="AM46" i="1"/>
  <c r="AA46" i="1"/>
  <c r="AN46" i="1"/>
  <c r="AO46" i="1" s="1"/>
  <c r="AO47" i="1" s="1"/>
  <c r="AM47" i="1" l="1"/>
  <c r="AA47" i="1"/>
  <c r="AK37" i="18"/>
  <c r="AM37" i="18" s="1"/>
  <c r="AI37" i="18"/>
  <c r="X38" i="18"/>
  <c r="AD37" i="18"/>
  <c r="AJ46" i="1"/>
  <c r="AA48" i="1" l="1"/>
  <c r="AD48" i="1" s="1"/>
  <c r="AJ47" i="1"/>
  <c r="AN38" i="18"/>
  <c r="Z38" i="18"/>
  <c r="Z39" i="18" l="1"/>
  <c r="AB38" i="18"/>
  <c r="AH48" i="1"/>
  <c r="AD49" i="1"/>
  <c r="AH49" i="1" l="1"/>
  <c r="AD50" i="1"/>
  <c r="AN48" i="1"/>
  <c r="AO48" i="1" s="1"/>
  <c r="AM48" i="1"/>
  <c r="AG38" i="18"/>
  <c r="AH38" i="18" s="1"/>
  <c r="AF38" i="18"/>
  <c r="AD38" i="18" s="1"/>
  <c r="Z40" i="18"/>
  <c r="AB40" i="18" s="1"/>
  <c r="AB39" i="18"/>
  <c r="AG39" i="18" l="1"/>
  <c r="AH39" i="18" s="1"/>
  <c r="AM49" i="1"/>
  <c r="AA49" i="1"/>
  <c r="AG40" i="18"/>
  <c r="AF39" i="18"/>
  <c r="AK38" i="18"/>
  <c r="AM38" i="18" s="1"/>
  <c r="AI38" i="18"/>
  <c r="X39" i="18"/>
  <c r="AN39" i="18" s="1"/>
  <c r="AJ48" i="1"/>
  <c r="AH50" i="1"/>
  <c r="AD51" i="1"/>
  <c r="AH51" i="1" s="1"/>
  <c r="AJ49" i="1"/>
  <c r="AN49" i="1"/>
  <c r="AO49" i="1" s="1"/>
  <c r="AH40" i="18" l="1"/>
  <c r="AF40" i="18"/>
  <c r="AK39" i="18"/>
  <c r="AM39" i="18" s="1"/>
  <c r="AI39" i="18"/>
  <c r="X40" i="18"/>
  <c r="AN40" i="18" s="1"/>
  <c r="AN51" i="1"/>
  <c r="AN50" i="1"/>
  <c r="AO50" i="1" s="1"/>
  <c r="AM50" i="1"/>
  <c r="AJ50" i="1" s="1"/>
  <c r="AA50" i="1"/>
  <c r="AD39" i="18"/>
  <c r="AO51" i="1" l="1"/>
  <c r="AK40" i="18"/>
  <c r="AM40" i="18" s="1"/>
  <c r="AI40" i="18"/>
  <c r="X41" i="18"/>
  <c r="AD40" i="18"/>
  <c r="AM51" i="1"/>
  <c r="AA51" i="1"/>
  <c r="AN41" i="18" l="1"/>
  <c r="AN42" i="18"/>
  <c r="Z41" i="18"/>
  <c r="AA52" i="1"/>
  <c r="AD52" i="1" s="1"/>
  <c r="AJ51" i="1"/>
  <c r="AD53" i="1" l="1"/>
  <c r="AH53" i="1" s="1"/>
  <c r="AH52" i="1"/>
  <c r="Z42" i="18"/>
  <c r="AB42" i="18" s="1"/>
  <c r="AB41" i="18"/>
  <c r="AG41" i="18" l="1"/>
  <c r="AH41" i="18" s="1"/>
  <c r="AF41" i="18"/>
  <c r="AG42" i="18"/>
  <c r="AN52" i="1"/>
  <c r="AO52" i="1" s="1"/>
  <c r="AM52" i="1"/>
  <c r="AJ52" i="1" s="1"/>
  <c r="AN53" i="1"/>
  <c r="AO53" i="1" l="1"/>
  <c r="AH42" i="18"/>
  <c r="AF42" i="18"/>
  <c r="AK41" i="18"/>
  <c r="AM41" i="18" s="1"/>
  <c r="AI41" i="18"/>
  <c r="AM53" i="1"/>
  <c r="AJ53" i="1" s="1"/>
  <c r="AA53" i="1"/>
  <c r="AD41" i="18"/>
  <c r="AK42" i="18" l="1"/>
  <c r="AM42" i="18" s="1"/>
  <c r="AI42" i="18"/>
  <c r="X43" i="18"/>
  <c r="AD42" i="18"/>
  <c r="AN43" i="18" l="1"/>
  <c r="Z43" i="18"/>
  <c r="Z44" i="18" l="1"/>
  <c r="AB43" i="18"/>
  <c r="Z45" i="18" l="1"/>
  <c r="AB44" i="18"/>
  <c r="AG43" i="18"/>
  <c r="AF43" i="18"/>
  <c r="AH43" i="18"/>
  <c r="AF44" i="18" l="1"/>
  <c r="AD44" i="18" s="1"/>
  <c r="AK43" i="18"/>
  <c r="AM43" i="18" s="1"/>
  <c r="AI43" i="18"/>
  <c r="X44" i="18"/>
  <c r="AN44" i="18" s="1"/>
  <c r="AG44" i="18"/>
  <c r="AH44" i="18" s="1"/>
  <c r="AD43" i="18"/>
  <c r="AB45" i="18"/>
  <c r="Z46" i="18"/>
  <c r="Z47" i="18" l="1"/>
  <c r="AB47" i="18" s="1"/>
  <c r="AB46" i="18"/>
  <c r="AG45" i="18"/>
  <c r="AH45" i="18" s="1"/>
  <c r="AF45" i="18"/>
  <c r="AK44" i="18"/>
  <c r="AM44" i="18" s="1"/>
  <c r="AI44" i="18"/>
  <c r="X45" i="18"/>
  <c r="AN45" i="18" s="1"/>
  <c r="AF46" i="18" l="1"/>
  <c r="AD46" i="18" s="1"/>
  <c r="AK45" i="18"/>
  <c r="AM45" i="18" s="1"/>
  <c r="AI45" i="18"/>
  <c r="X46" i="18"/>
  <c r="AN46" i="18" s="1"/>
  <c r="AD45" i="18"/>
  <c r="AG46" i="18"/>
  <c r="AH46" i="18" s="1"/>
  <c r="AG47" i="18"/>
  <c r="AH47" i="18" l="1"/>
  <c r="AF47" i="18"/>
  <c r="X47" i="18"/>
  <c r="AN47" i="18" s="1"/>
  <c r="AK46" i="18"/>
  <c r="AM46" i="18" s="1"/>
  <c r="AI46" i="18"/>
  <c r="AI47" i="18" l="1"/>
  <c r="X48" i="18"/>
  <c r="AK47" i="18"/>
  <c r="AM47" i="18" s="1"/>
  <c r="AD47" i="18"/>
  <c r="Z48" i="18" l="1"/>
  <c r="AN48" i="18"/>
  <c r="AB48" i="18" l="1"/>
  <c r="Z49" i="18"/>
  <c r="Z50" i="18" l="1"/>
  <c r="AB49" i="18"/>
  <c r="AG48" i="18"/>
  <c r="AH48" i="18" s="1"/>
  <c r="AF48" i="18"/>
  <c r="AF49" i="18" l="1"/>
  <c r="X49" i="18"/>
  <c r="AN49" i="18" s="1"/>
  <c r="AK48" i="18"/>
  <c r="AM48" i="18" s="1"/>
  <c r="AI48" i="18"/>
  <c r="AD48" i="18"/>
  <c r="AG49" i="18"/>
  <c r="AH49" i="18" s="1"/>
  <c r="AD49" i="18"/>
  <c r="AB50" i="18"/>
  <c r="Z51" i="18"/>
  <c r="AB51" i="18" s="1"/>
  <c r="AG51" i="18" l="1"/>
  <c r="AF50" i="18"/>
  <c r="AK49" i="18"/>
  <c r="AM49" i="18" s="1"/>
  <c r="AI49" i="18"/>
  <c r="X50" i="18"/>
  <c r="AN50" i="18" s="1"/>
  <c r="AG50" i="18"/>
  <c r="AH50" i="18" s="1"/>
  <c r="AH51" i="18" s="1"/>
  <c r="AK50" i="18" l="1"/>
  <c r="AM50" i="18" s="1"/>
  <c r="AI50" i="18"/>
  <c r="AF51" i="18"/>
  <c r="X51" i="18"/>
  <c r="AN51" i="18" s="1"/>
  <c r="AD50" i="18"/>
  <c r="AK51" i="18" l="1"/>
  <c r="AM51" i="18" s="1"/>
  <c r="AI51" i="18"/>
  <c r="X52" i="18"/>
  <c r="AD51" i="18"/>
  <c r="Z52" i="18" l="1"/>
  <c r="AN52" i="18"/>
  <c r="Z53" i="18" l="1"/>
  <c r="AB53" i="18" s="1"/>
  <c r="AB52" i="18"/>
  <c r="AG52" i="18" l="1"/>
  <c r="AH52" i="18"/>
  <c r="AF52" i="18"/>
  <c r="AG53" i="18"/>
  <c r="AH53" i="18" l="1"/>
  <c r="AF53" i="18"/>
  <c r="AK52" i="18"/>
  <c r="AM52" i="18" s="1"/>
  <c r="AI52" i="18"/>
  <c r="X53" i="18"/>
  <c r="AN53" i="18" s="1"/>
  <c r="AD52" i="18"/>
  <c r="AK53" i="18" l="1"/>
  <c r="AM53" i="18" s="1"/>
  <c r="AI53" i="18"/>
  <c r="AD53" i="18"/>
</calcChain>
</file>

<file path=xl/sharedStrings.xml><?xml version="1.0" encoding="utf-8"?>
<sst xmlns="http://schemas.openxmlformats.org/spreadsheetml/2006/main" count="473" uniqueCount="245">
  <si>
    <t>Year</t>
  </si>
  <si>
    <t>Formatie</t>
  </si>
  <si>
    <t>BBP_correcties</t>
  </si>
  <si>
    <t>Correcties CBS (</t>
  </si>
  <si>
    <t>Flipped Correcties</t>
  </si>
  <si>
    <t>Real</t>
  </si>
  <si>
    <t>Feitelijk saldo</t>
  </si>
  <si>
    <t>SBR Advies</t>
  </si>
  <si>
    <t>p</t>
  </si>
  <si>
    <t>p_core</t>
  </si>
  <si>
    <t>debt</t>
  </si>
  <si>
    <t>g</t>
  </si>
  <si>
    <t>r</t>
  </si>
  <si>
    <t>r_market</t>
  </si>
  <si>
    <t>diff_r_r_market</t>
  </si>
  <si>
    <t>inflation_expectation</t>
  </si>
  <si>
    <t>emu</t>
  </si>
  <si>
    <t>Sim inputs</t>
  </si>
  <si>
    <t>GDP pot</t>
  </si>
  <si>
    <t>Output gap</t>
  </si>
  <si>
    <t>Sim outputs</t>
  </si>
  <si>
    <t>MTO_p</t>
  </si>
  <si>
    <t>MTO_p_formatie</t>
  </si>
  <si>
    <t>p_s</t>
  </si>
  <si>
    <t>p_s_market_r_formatie</t>
  </si>
  <si>
    <t>p_s_real_debt</t>
  </si>
  <si>
    <t>p_s_formatie</t>
  </si>
  <si>
    <t>p_c</t>
  </si>
  <si>
    <t>mto_sim</t>
  </si>
  <si>
    <t>p_sim</t>
  </si>
  <si>
    <t>p_sim_realdebt</t>
  </si>
  <si>
    <t>emu_sim</t>
  </si>
  <si>
    <t>struc_emu_sim_realdebt</t>
  </si>
  <si>
    <t>mto_debt_sim</t>
  </si>
  <si>
    <t>debt_sim</t>
  </si>
  <si>
    <t>g_endog</t>
  </si>
  <si>
    <t>debt_sim_endog</t>
  </si>
  <si>
    <t>SGP Max Schuldquote</t>
  </si>
  <si>
    <t>Feitelijk saldo (ramingen destijds)</t>
  </si>
  <si>
    <t>marktrente_10y</t>
  </si>
  <si>
    <t>rentelasten</t>
  </si>
  <si>
    <t>Structureel EMU saldo (CEP 2023)</t>
  </si>
  <si>
    <t>Structureel primair saldo</t>
  </si>
  <si>
    <t>mutaties_structureel_primair_saldo</t>
  </si>
  <si>
    <t>Bijstelling EMU saldo</t>
  </si>
  <si>
    <t>Verandering Struc EMU saldo, vorige verkiezingen</t>
  </si>
  <si>
    <t>Output Gap</t>
  </si>
  <si>
    <t>r - g</t>
  </si>
  <si>
    <t>Structureel Primair Saldo na SBR advies</t>
  </si>
  <si>
    <t>p_s_real_debt_mr</t>
  </si>
  <si>
    <t>mutaties_real_debt</t>
  </si>
  <si>
    <t>diff_psreal_pssim_mr</t>
  </si>
  <si>
    <t>opgave_2P_diff_psreal_pssim_mr</t>
  </si>
  <si>
    <t>diff_psreal_pssim_interest</t>
  </si>
  <si>
    <t>opgave_2P_diff_psreal_pssim_interest</t>
  </si>
  <si>
    <t>Opgave_2P_interest_uitgevoerd</t>
  </si>
  <si>
    <t>Opgave_2P_mr_uitgevoerd</t>
  </si>
  <si>
    <t>struc_emu_sim_real_debt</t>
  </si>
  <si>
    <t>Mutatie Barro Struc EMU tov vorige periode</t>
  </si>
  <si>
    <t>Advies Struc Barro (10 jaar termijn)</t>
  </si>
  <si>
    <t>MTO</t>
  </si>
  <si>
    <t>MTO Advies</t>
  </si>
  <si>
    <t>Houdbaar structureel primair saldo</t>
  </si>
  <si>
    <t>Houdbaarheid Advies</t>
  </si>
  <si>
    <t>Mutatie_HBH_advies</t>
  </si>
  <si>
    <t xml:space="preserve"> </t>
  </si>
  <si>
    <t>d</t>
  </si>
  <si>
    <t>vergrijzings extra opgave</t>
  </si>
  <si>
    <t>Aanpassing basispad</t>
  </si>
  <si>
    <t>basispad (EMU)</t>
  </si>
  <si>
    <t>basispad (p)</t>
  </si>
  <si>
    <t>p_s_incl vergrijzing</t>
  </si>
  <si>
    <t>percentage verwijderd van structureel saldo</t>
  </si>
  <si>
    <t>Parameters zoals uit cMEV2024</t>
  </si>
  <si>
    <t>max</t>
  </si>
  <si>
    <t>GDP</t>
  </si>
  <si>
    <t xml:space="preserve">EMU basispad </t>
  </si>
  <si>
    <t>rente</t>
  </si>
  <si>
    <t>gemiddelde van macro cMEV</t>
  </si>
  <si>
    <t>primair basispad</t>
  </si>
  <si>
    <t>staatsschuld</t>
  </si>
  <si>
    <t>factor_opgave</t>
  </si>
  <si>
    <t>Indicentele reeks</t>
  </si>
  <si>
    <t>mld</t>
  </si>
  <si>
    <t>Opgave (% bbp)</t>
  </si>
  <si>
    <t>Rentelasten</t>
  </si>
  <si>
    <t>Actuele Marktrente</t>
  </si>
  <si>
    <t>Negatieve schok</t>
  </si>
  <si>
    <t>Positieve schok</t>
  </si>
  <si>
    <t>Fondsen</t>
  </si>
  <si>
    <t>Klimaat</t>
  </si>
  <si>
    <t>Houdbaarheidssaldo</t>
  </si>
  <si>
    <t>Schuld stabilisatie (60%)</t>
  </si>
  <si>
    <t>Opgave hoog (€ mld, ex vergrijzing)</t>
  </si>
  <si>
    <t xml:space="preserve">Hoog = 1 kabinetsperiode, </t>
  </si>
  <si>
    <t>fondsen als struc</t>
  </si>
  <si>
    <t>Opgave laag (€ mld, ex vergrijzing, Incl Klimaat)</t>
  </si>
  <si>
    <t>Laag = 2 kabinetsperioden, alle fondsen uit basispad, behalve klimaatfonds</t>
  </si>
  <si>
    <t>Opgave laag (€ mld, ex vergrijzing)</t>
  </si>
  <si>
    <t>Laag = 2 kabinetsperioden, fondsen uit basispad</t>
  </si>
  <si>
    <t>observation_date</t>
  </si>
  <si>
    <t>avg_10_year_rate</t>
  </si>
  <si>
    <t>avg_10_year_rate_perc</t>
  </si>
  <si>
    <t>Correctie (mln Euro)</t>
  </si>
  <si>
    <t>Correctie (% BBP)</t>
  </si>
  <si>
    <t>interest</t>
  </si>
  <si>
    <t>growth</t>
  </si>
  <si>
    <t>primary_balance</t>
  </si>
  <si>
    <t>gdp</t>
  </si>
  <si>
    <t>debt_ratio</t>
  </si>
  <si>
    <t>Perioden</t>
  </si>
  <si>
    <t>Jaarmutatie CPI</t>
  </si>
  <si>
    <t>Jaarmutatie CPI, afgeleid</t>
  </si>
  <si>
    <t>cumcpi</t>
  </si>
  <si>
    <t>ECB Long forecast</t>
  </si>
  <si>
    <t>output_gap</t>
  </si>
  <si>
    <t>bbp</t>
  </si>
  <si>
    <t>Totaal</t>
  </si>
  <si>
    <t>Core</t>
  </si>
  <si>
    <t>1. Algemeen overheidsbestuur</t>
  </si>
  <si>
    <t>2. Landsverdediging</t>
  </si>
  <si>
    <t>3. Openbare orde en veiligheid</t>
  </si>
  <si>
    <t>4. Economische aangelegenheden</t>
  </si>
  <si>
    <t>5. Milieubescherming</t>
  </si>
  <si>
    <t>6. Huisvesting en gemeenschapsvoorzien..</t>
  </si>
  <si>
    <t>7. Volksgezondheid</t>
  </si>
  <si>
    <t>8. Recreatie, cultuur en religie</t>
  </si>
  <si>
    <t>9. Onderwijs</t>
  </si>
  <si>
    <t>10. Sociale bescherming</t>
  </si>
  <si>
    <t>core_gov_frac</t>
  </si>
  <si>
    <t>Jaar</t>
  </si>
  <si>
    <t>Totaal_core</t>
  </si>
  <si>
    <t>sum_mutaties_core</t>
  </si>
  <si>
    <t>discretionary_revenue</t>
  </si>
  <si>
    <t>discretionary_expenditure</t>
  </si>
  <si>
    <t>policy</t>
  </si>
  <si>
    <t>policy_neg</t>
  </si>
  <si>
    <t>Variable</t>
  </si>
  <si>
    <t>Unit/Description</t>
  </si>
  <si>
    <t>Country</t>
  </si>
  <si>
    <t>Unit</t>
  </si>
  <si>
    <t>Potential GDP (OVGDP)</t>
  </si>
  <si>
    <t>National currency:</t>
  </si>
  <si>
    <t>Netherlands</t>
  </si>
  <si>
    <t>Mrd EURO-NLG</t>
  </si>
  <si>
    <t>gdp_pot_est_-1Y</t>
  </si>
  <si>
    <t>debt_sim_corr</t>
  </si>
  <si>
    <t>debt_sim_endo_corr</t>
  </si>
  <si>
    <t>debt sim mut</t>
  </si>
  <si>
    <t>debt_mut</t>
  </si>
  <si>
    <t>diff_mut</t>
  </si>
  <si>
    <t>diff_sim_real-emu</t>
  </si>
  <si>
    <t>min</t>
  </si>
  <si>
    <t>Schuld stabilisatie (54,3%)</t>
  </si>
  <si>
    <t>Opgave in 2 Periodes</t>
  </si>
  <si>
    <t>dv</t>
  </si>
  <si>
    <t>jaar</t>
  </si>
  <si>
    <t>gem_bbp_disc.</t>
  </si>
  <si>
    <t>bbp_discounted_to_2024</t>
  </si>
  <si>
    <t>percentage opgave</t>
  </si>
  <si>
    <t>Opgave_discounted</t>
  </si>
  <si>
    <t>Opgave</t>
  </si>
  <si>
    <t>Som verdisconteerd</t>
  </si>
  <si>
    <t>Opgave origineel</t>
  </si>
  <si>
    <t>Opgave in 1 Periode</t>
  </si>
  <si>
    <t xml:space="preserve">elasticiteit </t>
  </si>
  <si>
    <t>outputgap_2028</t>
  </si>
  <si>
    <t>correctie conjunctuur</t>
  </si>
  <si>
    <t>EMU_Basispad_structureel</t>
  </si>
  <si>
    <t>MTO_-0.5</t>
  </si>
  <si>
    <t>MTO_-1</t>
  </si>
  <si>
    <t>basispad (EMU)_structureerd</t>
  </si>
  <si>
    <t>cpi</t>
  </si>
  <si>
    <t>Indexatiefactor</t>
  </si>
  <si>
    <t>bbp2028</t>
  </si>
  <si>
    <t>Keuze</t>
  </si>
  <si>
    <t>Waarde</t>
  </si>
  <si>
    <t>Overzicht</t>
  </si>
  <si>
    <t>Uitkomst</t>
  </si>
  <si>
    <t>Schonen incidentele reeks</t>
  </si>
  <si>
    <t>Alles, behalve klimaat</t>
  </si>
  <si>
    <t>Opgave 4 jaar</t>
  </si>
  <si>
    <t>Structurele Rente</t>
  </si>
  <si>
    <t>Rentelasten in 2028</t>
  </si>
  <si>
    <t>Verdeling opgave in de tijd</t>
  </si>
  <si>
    <t>4 jaar</t>
  </si>
  <si>
    <t>Onderuitputting Correctie</t>
  </si>
  <si>
    <t>Struc onderuitputting CPB</t>
  </si>
  <si>
    <t>EMU saldo na 4 jaar</t>
  </si>
  <si>
    <t>Groei scenario</t>
  </si>
  <si>
    <t>Basispad</t>
  </si>
  <si>
    <t>Opties</t>
  </si>
  <si>
    <t>schonen</t>
  </si>
  <si>
    <t>ja</t>
  </si>
  <si>
    <t>nee</t>
  </si>
  <si>
    <t>BBP</t>
  </si>
  <si>
    <t>renteniveau</t>
  </si>
  <si>
    <t>Werkelijke rentelasten 2023</t>
  </si>
  <si>
    <t>Hogere renteschok</t>
  </si>
  <si>
    <t>Lagere renteschok</t>
  </si>
  <si>
    <t>UFR</t>
  </si>
  <si>
    <t>struc onderuitputting</t>
  </si>
  <si>
    <t>verdeling_opgave</t>
  </si>
  <si>
    <t>6 jaar</t>
  </si>
  <si>
    <t>8 jaar</t>
  </si>
  <si>
    <t>10 jaar</t>
  </si>
  <si>
    <t>Schonen fondsen</t>
  </si>
  <si>
    <t>onderuitputting_correctie</t>
  </si>
  <si>
    <t>Geen onderuitputting</t>
  </si>
  <si>
    <t>Schonen klimaat</t>
  </si>
  <si>
    <t>Groei</t>
  </si>
  <si>
    <t>waarde</t>
  </si>
  <si>
    <t>optie</t>
  </si>
  <si>
    <t>categorie</t>
  </si>
  <si>
    <t>groei</t>
  </si>
  <si>
    <t>Groei 2028 CPB (3,5%)</t>
  </si>
  <si>
    <t>Structurele groei CPB (2,9%)</t>
  </si>
  <si>
    <t>emu_s</t>
  </si>
  <si>
    <t>percentage_verwijderd</t>
  </si>
  <si>
    <t>Opgave totaal</t>
  </si>
  <si>
    <t>Opgave kabinet</t>
  </si>
  <si>
    <t>aftrek_schonen</t>
  </si>
  <si>
    <t>Opgave_na_aftrek</t>
  </si>
  <si>
    <t>Onderuitputting</t>
  </si>
  <si>
    <t>Totaal_aftrek_schonen_en_onderuitputting</t>
  </si>
  <si>
    <t>Totaal_opgave</t>
  </si>
  <si>
    <t>AFEP Data Science</t>
  </si>
  <si>
    <t>struc basispad emu</t>
  </si>
  <si>
    <t>struc basispad (p)</t>
  </si>
  <si>
    <t>struc_Basispad</t>
  </si>
  <si>
    <t>conjunctuur</t>
  </si>
  <si>
    <t>basispad EMU</t>
  </si>
  <si>
    <t>Actuele marktrente (langetermijn)</t>
  </si>
  <si>
    <t>Anker</t>
  </si>
  <si>
    <t>Anker saldo</t>
  </si>
  <si>
    <t>Financiën (3,2%) + sluitende output gap</t>
  </si>
  <si>
    <t>Financiën (3,2%) + outputgap (EC)</t>
  </si>
  <si>
    <t>cMEV (3,9%) + outputgap (EC)</t>
  </si>
  <si>
    <t>schuldquote anker</t>
  </si>
  <si>
    <t>Algemeen_rente</t>
  </si>
  <si>
    <t>1. Algemeen_excl_rente</t>
  </si>
  <si>
    <t>Totaal reële zonder rente</t>
  </si>
  <si>
    <t>Trendlijn</t>
  </si>
  <si>
    <t>Procentuele verandering</t>
  </si>
  <si>
    <t>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</si>
</sst>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€&quot;\ * #,##0.00_ ;_ &quot;€&quot;\ * \-#,##0.00_ ;_ &quot;€&quot;\ * &quot;-&quot;??_ ;_ @_ "/>
    <numFmt numFmtId="165" formatCode="_ * #,##0.00_ ;_ * \-#,##0.00_ ;_ * &quot;-&quot;??_ ;_ @_ "/>
    <numFmt numFmtId="166" formatCode="0.000%"/>
    <numFmt numFmtId="167" formatCode="[$€-2]\ #,##0.00"/>
    <numFmt numFmtId="168" formatCode="0.0%"/>
    <numFmt numFmtId="169" formatCode="yyyy\-mm\-dd"/>
    <numFmt numFmtId="170" formatCode="_ * #,##0.0000_ ;_ * \-#,##0.0000_ ;_ * &quot;-&quot;??_ ;_ @_ "/>
    <numFmt numFmtId="171" formatCode="0.0000000%"/>
    <numFmt numFmtId="172" formatCode="_ &quot;€&quot;\ * #,##0.0_ ;_ &quot;€&quot;\ * \-#,##0.0_ ;_ &quot;€&quot;\ * &quot;-&quot;??_ ;_ @_ "/>
  </numFmts>
  <fonts count="2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Droid Sans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Droid Sans"/>
    </font>
    <font>
      <sz val="11"/>
      <color rgb="FF000000"/>
      <name val="Droid Sans"/>
    </font>
    <font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  <scheme val="minor"/>
    </font>
    <font>
      <b/>
      <sz val="10"/>
      <color theme="0"/>
      <name val="Arial"/>
      <family val="2"/>
    </font>
    <font>
      <b/>
      <i/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20" fillId="0" borderId="0" applyFont="0" applyFill="0" applyBorder="0" applyAlignment="0" applyProtection="0"/>
  </cellStyleXfs>
  <cellXfs count="16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4" fontId="3" fillId="0" borderId="0" xfId="0" applyNumberFormat="1" applyFont="1" applyAlignment="1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4" fontId="6" fillId="0" borderId="0" xfId="0" applyNumberFormat="1" applyFont="1"/>
    <xf numFmtId="10" fontId="4" fillId="0" borderId="0" xfId="0" applyNumberFormat="1" applyFont="1"/>
    <xf numFmtId="10" fontId="4" fillId="0" borderId="0" xfId="0" applyNumberFormat="1" applyFont="1" applyAlignment="1"/>
    <xf numFmtId="9" fontId="4" fillId="0" borderId="0" xfId="0" applyNumberFormat="1" applyFont="1" applyAlignment="1"/>
    <xf numFmtId="9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4" fontId="7" fillId="2" borderId="1" xfId="0" applyNumberFormat="1" applyFont="1" applyFill="1" applyBorder="1" applyAlignment="1">
      <alignment horizontal="right"/>
    </xf>
    <xf numFmtId="4" fontId="7" fillId="2" borderId="0" xfId="0" applyNumberFormat="1" applyFont="1" applyFill="1" applyAlignment="1">
      <alignment horizontal="right"/>
    </xf>
    <xf numFmtId="10" fontId="7" fillId="2" borderId="1" xfId="0" applyNumberFormat="1" applyFont="1" applyFill="1" applyBorder="1" applyAlignment="1">
      <alignment horizontal="right"/>
    </xf>
    <xf numFmtId="10" fontId="7" fillId="2" borderId="0" xfId="0" applyNumberFormat="1" applyFont="1" applyFill="1" applyAlignment="1">
      <alignment horizontal="right"/>
    </xf>
    <xf numFmtId="10" fontId="6" fillId="2" borderId="0" xfId="0" applyNumberFormat="1" applyFont="1" applyFill="1"/>
    <xf numFmtId="0" fontId="5" fillId="0" borderId="0" xfId="0" applyFont="1" applyAlignment="1">
      <alignment horizontal="right"/>
    </xf>
    <xf numFmtId="166" fontId="4" fillId="0" borderId="0" xfId="0" applyNumberFormat="1" applyFont="1"/>
    <xf numFmtId="10" fontId="1" fillId="0" borderId="0" xfId="0" applyNumberFormat="1" applyFont="1" applyAlignment="1"/>
    <xf numFmtId="10" fontId="1" fillId="0" borderId="0" xfId="0" applyNumberFormat="1" applyFont="1"/>
    <xf numFmtId="9" fontId="4" fillId="0" borderId="0" xfId="0" applyNumberFormat="1" applyFont="1"/>
    <xf numFmtId="10" fontId="8" fillId="0" borderId="0" xfId="0" applyNumberFormat="1" applyFont="1" applyAlignment="1">
      <alignment horizontal="right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0" xfId="0" applyFont="1" applyAlignment="1"/>
    <xf numFmtId="10" fontId="5" fillId="0" borderId="0" xfId="0" applyNumberFormat="1" applyFont="1" applyAlignment="1"/>
    <xf numFmtId="0" fontId="5" fillId="0" borderId="1" xfId="0" applyFont="1" applyBorder="1" applyAlignment="1">
      <alignment horizontal="right"/>
    </xf>
    <xf numFmtId="167" fontId="4" fillId="0" borderId="0" xfId="0" applyNumberFormat="1" applyFont="1"/>
    <xf numFmtId="0" fontId="4" fillId="0" borderId="0" xfId="0" applyFont="1" applyAlignment="1">
      <alignment wrapText="1"/>
    </xf>
    <xf numFmtId="0" fontId="4" fillId="2" borderId="0" xfId="0" applyFont="1" applyFill="1"/>
    <xf numFmtId="0" fontId="4" fillId="3" borderId="0" xfId="0" applyFont="1" applyFill="1" applyAlignment="1"/>
    <xf numFmtId="0" fontId="4" fillId="3" borderId="0" xfId="0" applyFont="1" applyFill="1"/>
    <xf numFmtId="0" fontId="5" fillId="3" borderId="0" xfId="0" applyFont="1" applyFill="1" applyAlignment="1">
      <alignment horizontal="right"/>
    </xf>
    <xf numFmtId="10" fontId="4" fillId="3" borderId="0" xfId="0" applyNumberFormat="1" applyFont="1" applyFill="1" applyAlignment="1"/>
    <xf numFmtId="9" fontId="4" fillId="3" borderId="0" xfId="0" applyNumberFormat="1" applyFont="1" applyFill="1" applyAlignment="1"/>
    <xf numFmtId="168" fontId="4" fillId="3" borderId="0" xfId="0" applyNumberFormat="1" applyFont="1" applyFill="1" applyAlignment="1"/>
    <xf numFmtId="0" fontId="9" fillId="0" borderId="0" xfId="0" applyFont="1" applyAlignment="1"/>
    <xf numFmtId="10" fontId="10" fillId="0" borderId="0" xfId="0" applyNumberFormat="1" applyFont="1" applyAlignment="1"/>
    <xf numFmtId="0" fontId="9" fillId="0" borderId="1" xfId="0" applyFont="1" applyBorder="1" applyAlignment="1"/>
    <xf numFmtId="0" fontId="8" fillId="2" borderId="0" xfId="0" applyFont="1" applyFill="1" applyAlignment="1">
      <alignment horizontal="left"/>
    </xf>
    <xf numFmtId="169" fontId="4" fillId="0" borderId="0" xfId="0" applyNumberFormat="1" applyFont="1" applyAlignment="1"/>
    <xf numFmtId="0" fontId="4" fillId="0" borderId="4" xfId="0" applyFont="1" applyBorder="1"/>
    <xf numFmtId="4" fontId="4" fillId="0" borderId="0" xfId="0" applyNumberFormat="1" applyFont="1" applyAlignment="1"/>
    <xf numFmtId="0" fontId="4" fillId="0" borderId="0" xfId="0" applyNumberFormat="1" applyFont="1" applyAlignment="1"/>
    <xf numFmtId="0" fontId="0" fillId="0" borderId="0" xfId="0" applyFont="1" applyFill="1" applyAlignment="1"/>
    <xf numFmtId="10" fontId="4" fillId="0" borderId="0" xfId="0" applyNumberFormat="1" applyFont="1" applyFill="1" applyAlignment="1"/>
    <xf numFmtId="0" fontId="4" fillId="0" borderId="0" xfId="0" applyFont="1" applyFill="1" applyAlignment="1">
      <alignment wrapText="1"/>
    </xf>
    <xf numFmtId="10" fontId="4" fillId="0" borderId="0" xfId="0" applyNumberFormat="1" applyFont="1" applyFill="1"/>
    <xf numFmtId="167" fontId="4" fillId="0" borderId="0" xfId="0" applyNumberFormat="1" applyFont="1" applyFill="1"/>
    <xf numFmtId="10" fontId="4" fillId="0" borderId="0" xfId="0" applyNumberFormat="1" applyFont="1" applyFill="1" applyAlignment="1">
      <alignment wrapText="1"/>
    </xf>
    <xf numFmtId="0" fontId="0" fillId="0" borderId="0" xfId="0" applyFont="1" applyAlignment="1"/>
    <xf numFmtId="0" fontId="0" fillId="0" borderId="0" xfId="0"/>
    <xf numFmtId="2" fontId="12" fillId="0" borderId="0" xfId="0" applyNumberFormat="1" applyFont="1"/>
    <xf numFmtId="10" fontId="0" fillId="0" borderId="0" xfId="2" applyNumberFormat="1" applyFont="1" applyAlignment="1"/>
    <xf numFmtId="10" fontId="0" fillId="0" borderId="0" xfId="0" applyNumberFormat="1" applyFont="1" applyAlignment="1"/>
    <xf numFmtId="165" fontId="0" fillId="0" borderId="0" xfId="0" applyNumberFormat="1" applyFont="1" applyAlignment="1"/>
    <xf numFmtId="170" fontId="0" fillId="0" borderId="0" xfId="1" applyNumberFormat="1" applyFont="1" applyAlignment="1"/>
    <xf numFmtId="0" fontId="13" fillId="0" borderId="0" xfId="0" applyFont="1" applyAlignment="1"/>
    <xf numFmtId="165" fontId="13" fillId="0" borderId="0" xfId="0" applyNumberFormat="1" applyFont="1" applyAlignment="1"/>
    <xf numFmtId="0" fontId="14" fillId="0" borderId="0" xfId="0" applyFont="1" applyAlignment="1"/>
    <xf numFmtId="170" fontId="14" fillId="0" borderId="0" xfId="1" applyNumberFormat="1" applyFont="1" applyAlignment="1"/>
    <xf numFmtId="170" fontId="0" fillId="0" borderId="0" xfId="0" applyNumberFormat="1" applyFont="1" applyAlignment="1"/>
    <xf numFmtId="0" fontId="0" fillId="4" borderId="0" xfId="0" applyFont="1" applyFill="1" applyAlignment="1"/>
    <xf numFmtId="10" fontId="14" fillId="0" borderId="0" xfId="0" applyNumberFormat="1" applyFont="1" applyAlignment="1"/>
    <xf numFmtId="171" fontId="0" fillId="0" borderId="0" xfId="0" applyNumberFormat="1" applyFont="1" applyAlignment="1"/>
    <xf numFmtId="10" fontId="4" fillId="0" borderId="0" xfId="0" applyNumberFormat="1" applyFont="1" applyFill="1" applyBorder="1" applyAlignment="1"/>
    <xf numFmtId="0" fontId="4" fillId="0" borderId="0" xfId="0" applyFont="1" applyFill="1" applyBorder="1" applyAlignment="1">
      <alignment wrapText="1"/>
    </xf>
    <xf numFmtId="10" fontId="4" fillId="0" borderId="0" xfId="0" applyNumberFormat="1" applyFont="1" applyFill="1" applyBorder="1"/>
    <xf numFmtId="167" fontId="4" fillId="0" borderId="0" xfId="0" applyNumberFormat="1" applyFont="1" applyFill="1" applyBorder="1"/>
    <xf numFmtId="0" fontId="4" fillId="0" borderId="0" xfId="0" applyFont="1" applyFill="1" applyBorder="1"/>
    <xf numFmtId="10" fontId="4" fillId="0" borderId="5" xfId="0" applyNumberFormat="1" applyFont="1" applyFill="1" applyBorder="1" applyAlignment="1"/>
    <xf numFmtId="10" fontId="4" fillId="0" borderId="5" xfId="0" applyNumberFormat="1" applyFont="1" applyFill="1" applyBorder="1" applyAlignment="1">
      <alignment wrapText="1"/>
    </xf>
    <xf numFmtId="10" fontId="4" fillId="0" borderId="5" xfId="0" applyNumberFormat="1" applyFont="1" applyFill="1" applyBorder="1"/>
    <xf numFmtId="167" fontId="4" fillId="0" borderId="5" xfId="0" applyNumberFormat="1" applyFont="1" applyFill="1" applyBorder="1"/>
    <xf numFmtId="0" fontId="0" fillId="0" borderId="5" xfId="0" applyFont="1" applyFill="1" applyBorder="1" applyAlignment="1"/>
    <xf numFmtId="168" fontId="4" fillId="3" borderId="0" xfId="2" applyNumberFormat="1" applyFont="1" applyFill="1" applyAlignment="1"/>
    <xf numFmtId="0" fontId="0" fillId="0" borderId="0" xfId="0" applyFont="1" applyAlignment="1"/>
    <xf numFmtId="10" fontId="4" fillId="0" borderId="0" xfId="0" applyNumberFormat="1" applyFont="1" applyFill="1" applyBorder="1" applyAlignment="1">
      <alignment wrapText="1"/>
    </xf>
    <xf numFmtId="0" fontId="0" fillId="0" borderId="0" xfId="0" applyFont="1" applyFill="1" applyBorder="1" applyAlignment="1"/>
    <xf numFmtId="10" fontId="4" fillId="0" borderId="6" xfId="0" applyNumberFormat="1" applyFont="1" applyFill="1" applyBorder="1" applyAlignment="1"/>
    <xf numFmtId="0" fontId="4" fillId="0" borderId="6" xfId="0" applyFont="1" applyFill="1" applyBorder="1" applyAlignment="1">
      <alignment wrapText="1"/>
    </xf>
    <xf numFmtId="10" fontId="4" fillId="0" borderId="6" xfId="0" applyNumberFormat="1" applyFont="1" applyFill="1" applyBorder="1"/>
    <xf numFmtId="167" fontId="4" fillId="0" borderId="6" xfId="0" applyNumberFormat="1" applyFont="1" applyFill="1" applyBorder="1"/>
    <xf numFmtId="0" fontId="0" fillId="0" borderId="6" xfId="0" applyFont="1" applyFill="1" applyBorder="1" applyAlignment="1"/>
    <xf numFmtId="10" fontId="4" fillId="0" borderId="6" xfId="0" applyNumberFormat="1" applyFont="1" applyFill="1" applyBorder="1" applyAlignment="1">
      <alignment wrapText="1"/>
    </xf>
    <xf numFmtId="10" fontId="4" fillId="0" borderId="7" xfId="0" applyNumberFormat="1" applyFont="1" applyFill="1" applyBorder="1" applyAlignment="1"/>
    <xf numFmtId="10" fontId="4" fillId="0" borderId="7" xfId="0" applyNumberFormat="1" applyFont="1" applyFill="1" applyBorder="1" applyAlignment="1">
      <alignment wrapText="1"/>
    </xf>
    <xf numFmtId="10" fontId="4" fillId="0" borderId="7" xfId="0" applyNumberFormat="1" applyFont="1" applyFill="1" applyBorder="1"/>
    <xf numFmtId="167" fontId="4" fillId="0" borderId="7" xfId="0" applyNumberFormat="1" applyFont="1" applyFill="1" applyBorder="1"/>
    <xf numFmtId="0" fontId="0" fillId="0" borderId="7" xfId="0" applyFont="1" applyFill="1" applyBorder="1" applyAlignment="1"/>
    <xf numFmtId="0" fontId="4" fillId="0" borderId="5" xfId="0" applyFont="1" applyFill="1" applyBorder="1" applyAlignment="1">
      <alignment wrapText="1"/>
    </xf>
    <xf numFmtId="2" fontId="5" fillId="3" borderId="0" xfId="0" applyNumberFormat="1" applyFont="1" applyFill="1" applyAlignment="1">
      <alignment horizontal="right"/>
    </xf>
    <xf numFmtId="0" fontId="4" fillId="0" borderId="5" xfId="0" applyFont="1" applyFill="1" applyBorder="1" applyAlignment="1"/>
    <xf numFmtId="0" fontId="1" fillId="0" borderId="5" xfId="0" applyFont="1" applyFill="1" applyBorder="1" applyAlignment="1"/>
    <xf numFmtId="0" fontId="1" fillId="0" borderId="5" xfId="0" applyFont="1" applyFill="1" applyBorder="1" applyAlignment="1">
      <alignment wrapText="1"/>
    </xf>
    <xf numFmtId="10" fontId="4" fillId="4" borderId="0" xfId="0" applyNumberFormat="1" applyFont="1" applyFill="1" applyAlignment="1"/>
    <xf numFmtId="0" fontId="4" fillId="4" borderId="0" xfId="0" applyFont="1" applyFill="1" applyAlignment="1">
      <alignment wrapText="1"/>
    </xf>
    <xf numFmtId="10" fontId="4" fillId="4" borderId="0" xfId="0" applyNumberFormat="1" applyFont="1" applyFill="1"/>
    <xf numFmtId="167" fontId="4" fillId="4" borderId="0" xfId="0" applyNumberFormat="1" applyFont="1" applyFill="1"/>
    <xf numFmtId="10" fontId="4" fillId="4" borderId="0" xfId="0" applyNumberFormat="1" applyFont="1" applyFill="1" applyAlignment="1">
      <alignment wrapText="1"/>
    </xf>
    <xf numFmtId="0" fontId="16" fillId="5" borderId="0" xfId="0" applyFont="1" applyFill="1" applyAlignment="1">
      <alignment horizontal="left" wrapText="1"/>
    </xf>
    <xf numFmtId="0" fontId="0" fillId="6" borderId="0" xfId="0" applyFill="1" applyAlignment="1">
      <alignment horizontal="right"/>
    </xf>
    <xf numFmtId="172" fontId="17" fillId="0" borderId="0" xfId="3" applyNumberFormat="1" applyFont="1" applyBorder="1" applyAlignment="1">
      <alignment horizontal="right"/>
    </xf>
    <xf numFmtId="168" fontId="0" fillId="6" borderId="0" xfId="2" applyNumberFormat="1" applyFont="1" applyFill="1" applyBorder="1" applyAlignment="1">
      <alignment horizontal="right"/>
    </xf>
    <xf numFmtId="10" fontId="0" fillId="0" borderId="0" xfId="2" applyNumberFormat="1" applyFont="1"/>
    <xf numFmtId="9" fontId="0" fillId="0" borderId="0" xfId="2" applyFont="1"/>
    <xf numFmtId="10" fontId="0" fillId="7" borderId="0" xfId="2" applyNumberFormat="1" applyFont="1" applyFill="1"/>
    <xf numFmtId="10" fontId="0" fillId="0" borderId="0" xfId="0" applyNumberFormat="1"/>
    <xf numFmtId="0" fontId="0" fillId="7" borderId="0" xfId="2" applyNumberFormat="1" applyFont="1" applyFill="1"/>
    <xf numFmtId="165" fontId="0" fillId="0" borderId="0" xfId="1" applyFont="1"/>
    <xf numFmtId="10" fontId="14" fillId="0" borderId="0" xfId="2" applyNumberFormat="1" applyFont="1"/>
    <xf numFmtId="9" fontId="14" fillId="0" borderId="0" xfId="2" applyFont="1"/>
    <xf numFmtId="168" fontId="0" fillId="6" borderId="0" xfId="2" applyNumberFormat="1" applyFont="1" applyFill="1" applyAlignment="1">
      <alignment horizontal="right"/>
    </xf>
    <xf numFmtId="10" fontId="14" fillId="0" borderId="0" xfId="0" applyNumberFormat="1" applyFont="1"/>
    <xf numFmtId="0" fontId="14" fillId="0" borderId="0" xfId="0" applyFont="1"/>
    <xf numFmtId="0" fontId="14" fillId="6" borderId="0" xfId="0" applyFont="1" applyFill="1" applyAlignment="1">
      <alignment horizontal="right"/>
    </xf>
    <xf numFmtId="0" fontId="18" fillId="0" borderId="0" xfId="0" applyFont="1" applyAlignment="1">
      <alignment wrapText="1"/>
    </xf>
    <xf numFmtId="0" fontId="15" fillId="0" borderId="0" xfId="0" applyFont="1"/>
    <xf numFmtId="0" fontId="0" fillId="5" borderId="0" xfId="0" applyFill="1"/>
    <xf numFmtId="0" fontId="19" fillId="0" borderId="0" xfId="0" applyFont="1" applyAlignment="1">
      <alignment horizontal="right"/>
    </xf>
    <xf numFmtId="10" fontId="14" fillId="0" borderId="0" xfId="2" applyNumberFormat="1" applyFont="1" applyAlignment="1"/>
    <xf numFmtId="10" fontId="17" fillId="0" borderId="0" xfId="2" applyNumberFormat="1" applyFont="1" applyBorder="1" applyAlignment="1">
      <alignment horizontal="right"/>
    </xf>
    <xf numFmtId="165" fontId="0" fillId="0" borderId="0" xfId="1" applyFont="1" applyAlignment="1"/>
    <xf numFmtId="0" fontId="11" fillId="0" borderId="0" xfId="0" applyFont="1"/>
    <xf numFmtId="10" fontId="11" fillId="0" borderId="0" xfId="0" applyNumberFormat="1" applyFont="1"/>
    <xf numFmtId="0" fontId="4" fillId="0" borderId="0" xfId="0" applyFont="1" applyAlignment="1"/>
    <xf numFmtId="0" fontId="0" fillId="0" borderId="0" xfId="0" applyFont="1" applyAlignment="1"/>
    <xf numFmtId="0" fontId="13" fillId="5" borderId="0" xfId="0" applyFont="1" applyFill="1" applyAlignment="1"/>
    <xf numFmtId="0" fontId="1" fillId="5" borderId="5" xfId="0" applyFont="1" applyFill="1" applyBorder="1" applyAlignment="1"/>
    <xf numFmtId="10" fontId="0" fillId="5" borderId="0" xfId="2" applyNumberFormat="1" applyFont="1" applyFill="1" applyAlignment="1"/>
    <xf numFmtId="10" fontId="0" fillId="5" borderId="0" xfId="0" applyNumberFormat="1" applyFont="1" applyFill="1" applyAlignment="1"/>
    <xf numFmtId="0" fontId="0" fillId="5" borderId="0" xfId="0" applyFont="1" applyFill="1" applyAlignment="1"/>
    <xf numFmtId="166" fontId="0" fillId="5" borderId="0" xfId="0" applyNumberFormat="1" applyFont="1" applyFill="1" applyAlignment="1"/>
    <xf numFmtId="0" fontId="13" fillId="6" borderId="0" xfId="0" applyFont="1" applyFill="1" applyAlignment="1"/>
    <xf numFmtId="10" fontId="0" fillId="6" borderId="0" xfId="2" applyNumberFormat="1" applyFont="1" applyFill="1" applyAlignment="1"/>
    <xf numFmtId="0" fontId="11" fillId="0" borderId="0" xfId="0" applyFont="1" applyAlignment="1"/>
    <xf numFmtId="0" fontId="11" fillId="5" borderId="0" xfId="0" applyFont="1" applyFill="1"/>
    <xf numFmtId="10" fontId="4" fillId="8" borderId="0" xfId="0" applyNumberFormat="1" applyFont="1" applyFill="1" applyAlignment="1"/>
    <xf numFmtId="0" fontId="4" fillId="8" borderId="0" xfId="0" applyFont="1" applyFill="1" applyAlignment="1">
      <alignment wrapText="1"/>
    </xf>
    <xf numFmtId="10" fontId="4" fillId="8" borderId="0" xfId="0" applyNumberFormat="1" applyFont="1" applyFill="1"/>
    <xf numFmtId="167" fontId="4" fillId="8" borderId="0" xfId="0" applyNumberFormat="1" applyFont="1" applyFill="1"/>
    <xf numFmtId="0" fontId="0" fillId="8" borderId="0" xfId="0" applyFont="1" applyFill="1" applyAlignment="1"/>
    <xf numFmtId="10" fontId="4" fillId="6" borderId="0" xfId="0" applyNumberFormat="1" applyFont="1" applyFill="1" applyAlignment="1"/>
    <xf numFmtId="10" fontId="4" fillId="6" borderId="0" xfId="0" applyNumberFormat="1" applyFont="1" applyFill="1" applyBorder="1" applyAlignment="1"/>
    <xf numFmtId="0" fontId="4" fillId="6" borderId="0" xfId="0" applyFont="1" applyFill="1" applyAlignment="1">
      <alignment wrapText="1"/>
    </xf>
    <xf numFmtId="10" fontId="4" fillId="6" borderId="0" xfId="0" applyNumberFormat="1" applyFont="1" applyFill="1"/>
    <xf numFmtId="167" fontId="4" fillId="6" borderId="0" xfId="0" applyNumberFormat="1" applyFont="1" applyFill="1"/>
    <xf numFmtId="0" fontId="0" fillId="6" borderId="0" xfId="0" applyFont="1" applyFill="1" applyAlignment="1"/>
    <xf numFmtId="9" fontId="0" fillId="0" borderId="0" xfId="0" applyNumberFormat="1" applyFont="1" applyAlignment="1"/>
    <xf numFmtId="10" fontId="11" fillId="0" borderId="0" xfId="2" applyNumberFormat="1" applyFont="1"/>
    <xf numFmtId="170" fontId="0" fillId="0" borderId="0" xfId="1" applyNumberFormat="1" applyFont="1" applyFill="1" applyAlignment="1"/>
    <xf numFmtId="10" fontId="0" fillId="0" borderId="0" xfId="2" applyNumberFormat="1" applyFont="1" applyFill="1" applyAlignment="1"/>
    <xf numFmtId="168" fontId="0" fillId="0" borderId="0" xfId="2" applyNumberFormat="1" applyFont="1" applyFill="1" applyAlignment="1"/>
    <xf numFmtId="170" fontId="13" fillId="0" borderId="0" xfId="1" applyNumberFormat="1" applyFont="1" applyFill="1" applyAlignment="1"/>
    <xf numFmtId="0" fontId="13" fillId="0" borderId="0" xfId="0" applyFont="1" applyFill="1" applyAlignment="1"/>
    <xf numFmtId="170" fontId="13" fillId="0" borderId="0" xfId="1" applyNumberFormat="1" applyFont="1" applyAlignment="1"/>
    <xf numFmtId="0" fontId="4" fillId="0" borderId="0" xfId="0" applyFont="1" applyAlignment="1"/>
    <xf numFmtId="0" fontId="0" fillId="0" borderId="0" xfId="0" applyFont="1" applyAlignment="1"/>
  </cellXfs>
  <cellStyles count="5">
    <cellStyle name="Komma" xfId="1" builtinId="3"/>
    <cellStyle name="Komma 2" xfId="4" xr:uid="{FA6DF54D-340C-41E6-88E3-A061D729BDB4}"/>
    <cellStyle name="Procent" xfId="2" builtinId="5"/>
    <cellStyle name="Standaard" xfId="0" builtinId="0"/>
    <cellStyle name="Valuta" xfId="3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4" formatCode="0.0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Aanpassing structureel saldo: Barro Advies versus Houdbaarheid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'SBR Advies'!$U$1</c:f>
              <c:strCache>
                <c:ptCount val="1"/>
                <c:pt idx="0">
                  <c:v>diff_psreal_pssim_interest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Advies'!$U$2:$U$10</c:f>
              <c:numCache>
                <c:formatCode>0.00%</c:formatCode>
                <c:ptCount val="9"/>
                <c:pt idx="0">
                  <c:v>-2.1931935227901857E-2</c:v>
                </c:pt>
                <c:pt idx="1">
                  <c:v>-2.2652487820026317E-2</c:v>
                </c:pt>
                <c:pt idx="2">
                  <c:v>-3.4829546725501544E-3</c:v>
                </c:pt>
                <c:pt idx="3">
                  <c:v>-6.2085536966543405E-3</c:v>
                </c:pt>
                <c:pt idx="4">
                  <c:v>2.4624864075921758E-2</c:v>
                </c:pt>
                <c:pt idx="5">
                  <c:v>5.5114485577612681E-3</c:v>
                </c:pt>
                <c:pt idx="6">
                  <c:v>-2.3140453583799118E-2</c:v>
                </c:pt>
                <c:pt idx="7">
                  <c:v>3.7322933994694933E-3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9-4D1C-AAFA-DED590249111}"/>
            </c:ext>
          </c:extLst>
        </c:ser>
        <c:ser>
          <c:idx val="1"/>
          <c:order val="1"/>
          <c:tx>
            <c:strRef>
              <c:f>'SBR Advies'!$O$1</c:f>
              <c:strCache>
                <c:ptCount val="1"/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Advies'!$O$2:$O$10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9-4D1C-AAFA-DED590249111}"/>
            </c:ext>
          </c:extLst>
        </c:ser>
        <c:ser>
          <c:idx val="2"/>
          <c:order val="2"/>
          <c:tx>
            <c:strRef>
              <c:f>'SBR Advies'!$T$1</c:f>
              <c:strCache>
                <c:ptCount val="1"/>
                <c:pt idx="0">
                  <c:v>opgave_2P_diff_psreal_pssim_mr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Advies'!$T$2:$T$10</c:f>
              <c:numCache>
                <c:formatCode>0.00%</c:formatCode>
                <c:ptCount val="9"/>
                <c:pt idx="0">
                  <c:v>-1.5998549031843074E-2</c:v>
                </c:pt>
                <c:pt idx="1">
                  <c:v>-1.6701649031843072E-2</c:v>
                </c:pt>
                <c:pt idx="2">
                  <c:v>-3.2673931017240358E-3</c:v>
                </c:pt>
                <c:pt idx="3">
                  <c:v>-2.9370376204306582E-3</c:v>
                </c:pt>
                <c:pt idx="4">
                  <c:v>1.1408787203702015E-2</c:v>
                </c:pt>
                <c:pt idx="5">
                  <c:v>3.5781872337992604E-4</c:v>
                </c:pt>
                <c:pt idx="6">
                  <c:v>-1.5333489722688567E-2</c:v>
                </c:pt>
                <c:pt idx="7">
                  <c:v>-2.673308356618366E-3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9-4D1C-AAFA-DED59024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26987"/>
        <c:axId val="1024713907"/>
      </c:lineChart>
      <c:catAx>
        <c:axId val="177026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024713907"/>
        <c:crosses val="autoZero"/>
        <c:auto val="1"/>
        <c:lblAlgn val="ctr"/>
        <c:lblOffset val="100"/>
        <c:noMultiLvlLbl val="1"/>
      </c:catAx>
      <c:valAx>
        <c:axId val="1024713907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Houdbaarheid Advies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770269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Formaties stuurden meer bij dan geadviseerd door het schuld-stabiliserend anker.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Aanpassing structureel saldo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'SBR Advies'!$A$2:$A$9</c:f>
              <c:numCache>
                <c:formatCode>General</c:formatCode>
                <c:ptCount val="8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Advies'!$G$2:$G$9</c:f>
              <c:numCache>
                <c:formatCode>0.00%</c:formatCode>
                <c:ptCount val="8"/>
                <c:pt idx="0">
                  <c:v>1.4061999999999963E-3</c:v>
                </c:pt>
                <c:pt idx="1">
                  <c:v>-1.9034200000000001E-2</c:v>
                </c:pt>
                <c:pt idx="2">
                  <c:v>4.5500000000000054E-4</c:v>
                </c:pt>
                <c:pt idx="3">
                  <c:v>-2.8084800000000004E-2</c:v>
                </c:pt>
                <c:pt idx="4">
                  <c:v>1.6386200000000004E-2</c:v>
                </c:pt>
                <c:pt idx="5">
                  <c:v>1.9227599999999997E-2</c:v>
                </c:pt>
                <c:pt idx="6">
                  <c:v>-2.8784400000000002E-2</c:v>
                </c:pt>
                <c:pt idx="7">
                  <c:v>1.3550400000000001E-2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D-4B1D-9A30-ED2133F3ACEE}"/>
            </c:ext>
          </c:extLst>
        </c:ser>
        <c:ser>
          <c:idx val="1"/>
          <c:order val="1"/>
          <c:tx>
            <c:v>Aanpassing met schuld-stabiliserend saldo </c:v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'SBR Advies'!$A$2:$A$9</c:f>
              <c:numCache>
                <c:formatCode>General</c:formatCode>
                <c:ptCount val="8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Advies'!$R$2:$R$9</c:f>
              <c:numCache>
                <c:formatCode>0.00%</c:formatCode>
                <c:ptCount val="8"/>
                <c:pt idx="1">
                  <c:v>6.8564740787553907E-4</c:v>
                </c:pt>
                <c:pt idx="2">
                  <c:v>1.3533314747616026E-4</c:v>
                </c:pt>
                <c:pt idx="3">
                  <c:v>-2.2705990241041855E-3</c:v>
                </c:pt>
                <c:pt idx="4">
                  <c:v>2.7486177725760952E-3</c:v>
                </c:pt>
                <c:pt idx="5">
                  <c:v>-2.7272155181604866E-3</c:v>
                </c:pt>
                <c:pt idx="6">
                  <c:v>-9.4243021415603891E-3</c:v>
                </c:pt>
                <c:pt idx="7">
                  <c:v>-1.9116530167313864E-3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D-4B1D-9A30-ED2133F3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33389"/>
        <c:axId val="813612601"/>
      </c:lineChart>
      <c:catAx>
        <c:axId val="2083233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813612601"/>
        <c:crosses val="autoZero"/>
        <c:auto val="1"/>
        <c:lblAlgn val="ctr"/>
        <c:lblOffset val="100"/>
        <c:noMultiLvlLbl val="1"/>
      </c:catAx>
      <c:valAx>
        <c:axId val="813612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Saldo in % BBP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0832333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Doelsaldo houdbaarheid veranderde sterk over tijd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Struc Primair Saldo na Houdbaarheidssaldo</c:v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Advies'!$K$2:$K$10</c:f>
              <c:numCache>
                <c:formatCode>0.00%</c:formatCode>
                <c:ptCount val="9"/>
                <c:pt idx="0">
                  <c:v>5.1827640361209598E-3</c:v>
                </c:pt>
                <c:pt idx="1">
                  <c:v>4.1025589471758994E-3</c:v>
                </c:pt>
                <c:pt idx="2">
                  <c:v>8.7572766811640224E-3</c:v>
                </c:pt>
                <c:pt idx="3">
                  <c:v>5.0417185554172683E-3</c:v>
                </c:pt>
                <c:pt idx="4">
                  <c:v>5.7165008168720589E-3</c:v>
                </c:pt>
                <c:pt idx="5">
                  <c:v>2.8076134699853844E-3</c:v>
                </c:pt>
                <c:pt idx="6">
                  <c:v>-1.6994147439504982E-2</c:v>
                </c:pt>
                <c:pt idx="7">
                  <c:v>-2.3609493670886002E-2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B-4931-A74A-98E9C71D47B9}"/>
            </c:ext>
          </c:extLst>
        </c:ser>
        <c:ser>
          <c:idx val="1"/>
          <c:order val="1"/>
          <c:tx>
            <c:v>Schuld-stabiliserend saldo </c:v>
          </c:tx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Advies'!$AF$2:$AF$9</c:f>
              <c:numCache>
                <c:formatCode>0.00%</c:formatCode>
                <c:ptCount val="8"/>
                <c:pt idx="1">
                  <c:v>3.32842E-2</c:v>
                </c:pt>
                <c:pt idx="2">
                  <c:v>1.8249999999999999E-2</c:v>
                </c:pt>
                <c:pt idx="3">
                  <c:v>3.7705000000000002E-2</c:v>
                </c:pt>
                <c:pt idx="4">
                  <c:v>9.6201999999999954E-3</c:v>
                </c:pt>
                <c:pt idx="5">
                  <c:v>4.1006399999999998E-2</c:v>
                </c:pt>
                <c:pt idx="6">
                  <c:v>1.1233999999999999E-2</c:v>
                </c:pt>
                <c:pt idx="7">
                  <c:v>2.4495999999999997E-3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B-4931-A74A-98E9C71D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7417"/>
        <c:axId val="126631127"/>
      </c:lineChart>
      <c:catAx>
        <c:axId val="706167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26631127"/>
        <c:crosses val="autoZero"/>
        <c:auto val="1"/>
        <c:lblAlgn val="ctr"/>
        <c:lblOffset val="100"/>
        <c:noMultiLvlLbl val="1"/>
      </c:catAx>
      <c:valAx>
        <c:axId val="126631127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Structureel Primair Saldo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70616741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925"/>
          <c:y val="0.1507187780772686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Doelsaldo houdbaarheid veranderde sterk over tijd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Struc Primair Saldo na Houdbaarheidssaldo</c:v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Advies'!$K$2:$K$10</c:f>
              <c:numCache>
                <c:formatCode>0.00%</c:formatCode>
                <c:ptCount val="9"/>
                <c:pt idx="0">
                  <c:v>5.1827640361209598E-3</c:v>
                </c:pt>
                <c:pt idx="1">
                  <c:v>4.1025589471758994E-3</c:v>
                </c:pt>
                <c:pt idx="2">
                  <c:v>8.7572766811640224E-3</c:v>
                </c:pt>
                <c:pt idx="3">
                  <c:v>5.0417185554172683E-3</c:v>
                </c:pt>
                <c:pt idx="4">
                  <c:v>5.7165008168720589E-3</c:v>
                </c:pt>
                <c:pt idx="5">
                  <c:v>2.8076134699853844E-3</c:v>
                </c:pt>
                <c:pt idx="6">
                  <c:v>-1.6994147439504982E-2</c:v>
                </c:pt>
                <c:pt idx="7">
                  <c:v>-2.3609493670886002E-2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5-4BAA-9F83-C36490B28754}"/>
            </c:ext>
          </c:extLst>
        </c:ser>
        <c:ser>
          <c:idx val="1"/>
          <c:order val="1"/>
          <c:tx>
            <c:v>Schuld-stabiliserend saldo </c:v>
          </c:tx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Advies'!$AF$2:$AF$9</c:f>
              <c:numCache>
                <c:formatCode>0.00%</c:formatCode>
                <c:ptCount val="8"/>
                <c:pt idx="1">
                  <c:v>3.32842E-2</c:v>
                </c:pt>
                <c:pt idx="2">
                  <c:v>1.8249999999999999E-2</c:v>
                </c:pt>
                <c:pt idx="3">
                  <c:v>3.7705000000000002E-2</c:v>
                </c:pt>
                <c:pt idx="4">
                  <c:v>9.6201999999999954E-3</c:v>
                </c:pt>
                <c:pt idx="5">
                  <c:v>4.1006399999999998E-2</c:v>
                </c:pt>
                <c:pt idx="6">
                  <c:v>1.1233999999999999E-2</c:v>
                </c:pt>
                <c:pt idx="7">
                  <c:v>2.4495999999999997E-3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5-4BAA-9F83-C36490B2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737247"/>
        <c:axId val="1475059489"/>
      </c:lineChart>
      <c:catAx>
        <c:axId val="120973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475059489"/>
        <c:crosses val="autoZero"/>
        <c:auto val="1"/>
        <c:lblAlgn val="ctr"/>
        <c:lblOffset val="100"/>
        <c:noMultiLvlLbl val="1"/>
      </c:catAx>
      <c:valAx>
        <c:axId val="1475059489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Structureel Primair Saldo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209737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925"/>
          <c:y val="0.1507187780772686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Doelsaldo houdbaarheid veranderde sterk over tijd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Struc Primair Saldo na Houdbaarheidssaldo</c:v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Advies'!$K$2:$K$10</c:f>
              <c:numCache>
                <c:formatCode>0.00%</c:formatCode>
                <c:ptCount val="9"/>
                <c:pt idx="0">
                  <c:v>5.1827640361209598E-3</c:v>
                </c:pt>
                <c:pt idx="1">
                  <c:v>4.1025589471758994E-3</c:v>
                </c:pt>
                <c:pt idx="2">
                  <c:v>8.7572766811640224E-3</c:v>
                </c:pt>
                <c:pt idx="3">
                  <c:v>5.0417185554172683E-3</c:v>
                </c:pt>
                <c:pt idx="4">
                  <c:v>5.7165008168720589E-3</c:v>
                </c:pt>
                <c:pt idx="5">
                  <c:v>2.8076134699853844E-3</c:v>
                </c:pt>
                <c:pt idx="6">
                  <c:v>-1.6994147439504982E-2</c:v>
                </c:pt>
                <c:pt idx="7">
                  <c:v>-2.3609493670886002E-2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E-4582-BCD1-9AC8843D5DBC}"/>
            </c:ext>
          </c:extLst>
        </c:ser>
        <c:ser>
          <c:idx val="1"/>
          <c:order val="1"/>
          <c:tx>
            <c:v>Schuld-stabiliserend saldo </c:v>
          </c:tx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Advies'!$AF$2:$AF$9</c:f>
              <c:numCache>
                <c:formatCode>0.00%</c:formatCode>
                <c:ptCount val="8"/>
                <c:pt idx="1">
                  <c:v>3.32842E-2</c:v>
                </c:pt>
                <c:pt idx="2">
                  <c:v>1.8249999999999999E-2</c:v>
                </c:pt>
                <c:pt idx="3">
                  <c:v>3.7705000000000002E-2</c:v>
                </c:pt>
                <c:pt idx="4">
                  <c:v>9.6201999999999954E-3</c:v>
                </c:pt>
                <c:pt idx="5">
                  <c:v>4.1006399999999998E-2</c:v>
                </c:pt>
                <c:pt idx="6">
                  <c:v>1.1233999999999999E-2</c:v>
                </c:pt>
                <c:pt idx="7">
                  <c:v>2.4495999999999997E-3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E-4582-BCD1-9AC8843D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776771"/>
        <c:axId val="1377173193"/>
      </c:lineChart>
      <c:catAx>
        <c:axId val="1499776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377173193"/>
        <c:crosses val="autoZero"/>
        <c:auto val="1"/>
        <c:lblAlgn val="ctr"/>
        <c:lblOffset val="100"/>
        <c:noMultiLvlLbl val="1"/>
      </c:catAx>
      <c:valAx>
        <c:axId val="1377173193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Structureel Primair Saldo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49977677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925"/>
          <c:y val="0.1507187780772686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Structureel primair saldo na houdbaarheidsadvies fluctueert sterk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'SBR Advies'!$AG$1</c:f>
              <c:strCache>
                <c:ptCount val="1"/>
                <c:pt idx="0">
                  <c:v>Houdbaarheid Advies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dashDot"/>
            </a:ln>
          </c:spPr>
          <c:marker>
            <c:symbol val="none"/>
          </c:marker>
          <c:cat>
            <c:numRef>
              <c:f>'SBR Advies'!$A$2:$A$11</c:f>
              <c:numCache>
                <c:formatCode>General</c:formatCode>
                <c:ptCount val="10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Advies'!$AG$2:$AG$11</c:f>
              <c:numCache>
                <c:formatCode>0.00%</c:formatCode>
                <c:ptCount val="10"/>
                <c:pt idx="1">
                  <c:v>7.0000000000000001E-3</c:v>
                </c:pt>
                <c:pt idx="2">
                  <c:v>1.0999999999999999E-2</c:v>
                </c:pt>
                <c:pt idx="3" formatCode="0%">
                  <c:v>0.03</c:v>
                </c:pt>
                <c:pt idx="4" formatCode="0%">
                  <c:v>0.03</c:v>
                </c:pt>
                <c:pt idx="5">
                  <c:v>4.4999999999999998E-2</c:v>
                </c:pt>
                <c:pt idx="6">
                  <c:v>-4.0000000000000001E-3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8-4F7D-A3C6-8DEF2A6BAFF9}"/>
            </c:ext>
          </c:extLst>
        </c:ser>
        <c:ser>
          <c:idx val="1"/>
          <c:order val="1"/>
          <c:tx>
            <c:strRef>
              <c:f>'SBR Advies'!$F$1</c:f>
              <c:strCache>
                <c:ptCount val="1"/>
                <c:pt idx="0">
                  <c:v>Structureel primair saldo</c:v>
                </c:pt>
              </c:strCache>
            </c:strRef>
          </c:tx>
          <c:spPr>
            <a:ln cmpd="sng">
              <a:solidFill>
                <a:srgbClr val="EA4335"/>
              </a:solidFill>
              <a:prstDash val="dashDot"/>
            </a:ln>
          </c:spPr>
          <c:marker>
            <c:symbol val="none"/>
          </c:marker>
          <c:cat>
            <c:numRef>
              <c:f>'SBR Advies'!$A$2:$A$11</c:f>
              <c:numCache>
                <c:formatCode>General</c:formatCode>
                <c:ptCount val="10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Advies'!$F$2:$F$11</c:f>
              <c:numCache>
                <c:formatCode>0.00%</c:formatCode>
                <c:ptCount val="10"/>
                <c:pt idx="0">
                  <c:v>2.4878000000000004E-2</c:v>
                </c:pt>
                <c:pt idx="1">
                  <c:v>2.6284200000000001E-2</c:v>
                </c:pt>
                <c:pt idx="2">
                  <c:v>7.2499999999999995E-3</c:v>
                </c:pt>
                <c:pt idx="3">
                  <c:v>7.705E-3</c:v>
                </c:pt>
                <c:pt idx="4">
                  <c:v>-2.0379800000000003E-2</c:v>
                </c:pt>
                <c:pt idx="5">
                  <c:v>-3.9935999999999999E-3</c:v>
                </c:pt>
                <c:pt idx="6">
                  <c:v>1.5233999999999999E-2</c:v>
                </c:pt>
                <c:pt idx="7">
                  <c:v>-1.3550400000000001E-2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8-4F7D-A3C6-8DEF2A6BAFF9}"/>
            </c:ext>
          </c:extLst>
        </c:ser>
        <c:ser>
          <c:idx val="2"/>
          <c:order val="2"/>
          <c:tx>
            <c:v>Structureel primair saldo na advies houdbaarheid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'SBR Advies'!$A$2:$A$11</c:f>
              <c:numCache>
                <c:formatCode>General</c:formatCode>
                <c:ptCount val="10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Advies'!$AF$2:$AF$11</c:f>
              <c:numCache>
                <c:formatCode>0.00%</c:formatCode>
                <c:ptCount val="10"/>
                <c:pt idx="1">
                  <c:v>3.32842E-2</c:v>
                </c:pt>
                <c:pt idx="2">
                  <c:v>1.8249999999999999E-2</c:v>
                </c:pt>
                <c:pt idx="3">
                  <c:v>3.7705000000000002E-2</c:v>
                </c:pt>
                <c:pt idx="4">
                  <c:v>9.6201999999999954E-3</c:v>
                </c:pt>
                <c:pt idx="5">
                  <c:v>4.1006399999999998E-2</c:v>
                </c:pt>
                <c:pt idx="6">
                  <c:v>1.1233999999999999E-2</c:v>
                </c:pt>
                <c:pt idx="7">
                  <c:v>2.4495999999999997E-3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8-4F7D-A3C6-8DEF2A6B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724781"/>
        <c:axId val="1671537506"/>
      </c:lineChart>
      <c:catAx>
        <c:axId val="290724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671537506"/>
        <c:crosses val="autoZero"/>
        <c:auto val="1"/>
        <c:lblAlgn val="ctr"/>
        <c:lblOffset val="100"/>
        <c:noMultiLvlLbl val="1"/>
      </c:catAx>
      <c:valAx>
        <c:axId val="1671537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% van bbp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907247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Het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Struc EMU saldo</c:v>
          </c:tx>
          <c:spPr>
            <a:ln cmpd="sng">
              <a:solidFill>
                <a:srgbClr val="4285F4"/>
              </a:solidFill>
              <a:prstDash val="dashDot"/>
            </a:ln>
          </c:spPr>
          <c:marker>
            <c:symbol val="none"/>
          </c:marker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0-87A2-41F3-B466-AC254E999403}"/>
              </c:ext>
            </c:extLst>
          </c:dPt>
          <c:cat>
            <c:numRef>
              <c:f>'SBR Advies'!$A$2:$A$11</c:f>
              <c:numCache>
                <c:formatCode>General</c:formatCode>
                <c:ptCount val="10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Advies'!$E$2:$E$11</c:f>
              <c:numCache>
                <c:formatCode>0.00%</c:formatCode>
                <c:ptCount val="10"/>
                <c:pt idx="0">
                  <c:v>-1.4999999999999999E-2</c:v>
                </c:pt>
                <c:pt idx="1">
                  <c:v>-3.0000000000000001E-3</c:v>
                </c:pt>
                <c:pt idx="2">
                  <c:v>-1.7000000000000001E-2</c:v>
                </c:pt>
                <c:pt idx="3">
                  <c:v>-1.0999999999999999E-2</c:v>
                </c:pt>
                <c:pt idx="4">
                  <c:v>-3.9E-2</c:v>
                </c:pt>
                <c:pt idx="5">
                  <c:v>-2.1999999999999999E-2</c:v>
                </c:pt>
                <c:pt idx="6">
                  <c:v>6.0000000000000001E-3</c:v>
                </c:pt>
                <c:pt idx="7">
                  <c:v>-1.9E-2</c:v>
                </c:pt>
                <c:pt idx="8">
                  <c:v>-2.7E-2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2-41F3-B466-AC254E999403}"/>
            </c:ext>
          </c:extLst>
        </c:ser>
        <c:ser>
          <c:idx val="1"/>
          <c:order val="1"/>
          <c:tx>
            <c:v>Houdbaarheidsadvies naar komende periode</c:v>
          </c:tx>
          <c:spPr>
            <a:ln cmpd="sng">
              <a:solidFill>
                <a:srgbClr val="EA4335"/>
              </a:solidFill>
              <a:prstDash val="dashDot"/>
            </a:ln>
          </c:spPr>
          <c:marker>
            <c:symbol val="none"/>
          </c:marker>
          <c:cat>
            <c:numRef>
              <c:f>'SBR Advies'!$A$2:$A$11</c:f>
              <c:numCache>
                <c:formatCode>General</c:formatCode>
                <c:ptCount val="10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Advies'!$AG$2:$AG$11</c:f>
              <c:numCache>
                <c:formatCode>0.00%</c:formatCode>
                <c:ptCount val="10"/>
                <c:pt idx="1">
                  <c:v>7.0000000000000001E-3</c:v>
                </c:pt>
                <c:pt idx="2">
                  <c:v>1.0999999999999999E-2</c:v>
                </c:pt>
                <c:pt idx="3" formatCode="0%">
                  <c:v>0.03</c:v>
                </c:pt>
                <c:pt idx="4" formatCode="0%">
                  <c:v>0.03</c:v>
                </c:pt>
                <c:pt idx="5">
                  <c:v>4.4999999999999998E-2</c:v>
                </c:pt>
                <c:pt idx="6">
                  <c:v>-4.0000000000000001E-3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2-41F3-B466-AC254E99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71953"/>
        <c:axId val="631495969"/>
      </c:lineChart>
      <c:catAx>
        <c:axId val="724771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631495969"/>
        <c:crosses val="autoZero"/>
        <c:auto val="1"/>
        <c:lblAlgn val="ctr"/>
        <c:lblOffset val="100"/>
        <c:noMultiLvlLbl val="1"/>
      </c:catAx>
      <c:valAx>
        <c:axId val="631495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72477195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214935124269005"/>
          <c:y val="0.1172955974842767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MTO Advies procyclisch en volatiel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'SBR Advies'!$AD$1</c:f>
              <c:strCache>
                <c:ptCount val="1"/>
                <c:pt idx="0">
                  <c:v>MTO Advies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'SBR Advies'!$A$2:$A$9</c:f>
              <c:numCache>
                <c:formatCode>General</c:formatCode>
                <c:ptCount val="8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Advies'!$AD$2:$AD$9</c:f>
              <c:numCache>
                <c:formatCode>0.00%</c:formatCode>
                <c:ptCount val="8"/>
                <c:pt idx="0">
                  <c:v>-5.0000000000000001E-3</c:v>
                </c:pt>
                <c:pt idx="1">
                  <c:v>1E-3</c:v>
                </c:pt>
                <c:pt idx="2">
                  <c:v>1.2999999999999998E-2</c:v>
                </c:pt>
                <c:pt idx="3">
                  <c:v>-1.4999999999999999E-2</c:v>
                </c:pt>
                <c:pt idx="4">
                  <c:v>2.4E-2</c:v>
                </c:pt>
                <c:pt idx="5">
                  <c:v>2.0999999999999998E-2</c:v>
                </c:pt>
                <c:pt idx="6">
                  <c:v>-1.0999999999999999E-2</c:v>
                </c:pt>
                <c:pt idx="7">
                  <c:v>-2.2000000000000002E-2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8-41A0-981D-962C7FDE81FF}"/>
            </c:ext>
          </c:extLst>
        </c:ser>
        <c:ser>
          <c:idx val="1"/>
          <c:order val="1"/>
          <c:tx>
            <c:strRef>
              <c:f>'SBR Advies'!$J$1</c:f>
              <c:strCache>
                <c:ptCount val="1"/>
                <c:pt idx="0">
                  <c:v>Output Gap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'SBR Advies'!$A$2:$A$9</c:f>
              <c:numCache>
                <c:formatCode>General</c:formatCode>
                <c:ptCount val="8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Advies'!$J$2:$J$9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2.7000000000000003E-2</c:v>
                </c:pt>
                <c:pt idx="2">
                  <c:v>-2.3E-2</c:v>
                </c:pt>
                <c:pt idx="3">
                  <c:v>1.8000000000000002E-2</c:v>
                </c:pt>
                <c:pt idx="4">
                  <c:v>-1.9E-2</c:v>
                </c:pt>
                <c:pt idx="5">
                  <c:v>-2.6000000000000002E-2</c:v>
                </c:pt>
                <c:pt idx="6">
                  <c:v>6.0000000000000001E-3</c:v>
                </c:pt>
                <c:pt idx="7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8-41A0-981D-962C7FDE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740194"/>
        <c:axId val="1723821649"/>
      </c:lineChart>
      <c:catAx>
        <c:axId val="1691740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723821649"/>
        <c:crosses val="autoZero"/>
        <c:auto val="1"/>
        <c:lblAlgn val="ctr"/>
        <c:lblOffset val="100"/>
        <c:noMultiLvlLbl val="1"/>
      </c:catAx>
      <c:valAx>
        <c:axId val="1723821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% van bbp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6917401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Schuldontwikkeling Reeël, onder MTO en onder schuld-stabiliserend anker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Gerealiseerde schuldquote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Backtest!$A$2:$A$53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Backtest!$L$2:$L$53</c:f>
              <c:numCache>
                <c:formatCode>0.00%</c:formatCode>
                <c:ptCount val="52"/>
                <c:pt idx="0">
                  <c:v>0.46399999999999997</c:v>
                </c:pt>
                <c:pt idx="1">
                  <c:v>0.436</c:v>
                </c:pt>
                <c:pt idx="2">
                  <c:v>0.40600000000000003</c:v>
                </c:pt>
                <c:pt idx="3">
                  <c:v>0.38600000000000001</c:v>
                </c:pt>
                <c:pt idx="4">
                  <c:v>0.39399999999999996</c:v>
                </c:pt>
                <c:pt idx="5">
                  <c:v>0.39200000000000002</c:v>
                </c:pt>
                <c:pt idx="6">
                  <c:v>0.39</c:v>
                </c:pt>
                <c:pt idx="7">
                  <c:v>0.40200000000000002</c:v>
                </c:pt>
                <c:pt idx="8">
                  <c:v>0.41799999999999998</c:v>
                </c:pt>
                <c:pt idx="9">
                  <c:v>0.441</c:v>
                </c:pt>
                <c:pt idx="10">
                  <c:v>0.47399999999999998</c:v>
                </c:pt>
                <c:pt idx="11">
                  <c:v>0.53</c:v>
                </c:pt>
                <c:pt idx="12">
                  <c:v>0.59099999999999997</c:v>
                </c:pt>
                <c:pt idx="13">
                  <c:v>0.626</c:v>
                </c:pt>
                <c:pt idx="14">
                  <c:v>0.68</c:v>
                </c:pt>
                <c:pt idx="15">
                  <c:v>0.69499999999999995</c:v>
                </c:pt>
                <c:pt idx="16">
                  <c:v>0.71499999999999997</c:v>
                </c:pt>
                <c:pt idx="17">
                  <c:v>0.73799999999999999</c:v>
                </c:pt>
                <c:pt idx="18">
                  <c:v>0.73799999999999999</c:v>
                </c:pt>
                <c:pt idx="19">
                  <c:v>0.74</c:v>
                </c:pt>
                <c:pt idx="20">
                  <c:v>0.73599999999999999</c:v>
                </c:pt>
                <c:pt idx="21">
                  <c:v>0.74199999999999999</c:v>
                </c:pt>
                <c:pt idx="22">
                  <c:v>0.75</c:v>
                </c:pt>
                <c:pt idx="23">
                  <c:v>0.72199999999999998</c:v>
                </c:pt>
                <c:pt idx="24">
                  <c:v>0.73499999999999999</c:v>
                </c:pt>
                <c:pt idx="25">
                  <c:v>0.71400000000000008</c:v>
                </c:pt>
                <c:pt idx="26">
                  <c:v>0.65799999999999992</c:v>
                </c:pt>
                <c:pt idx="27">
                  <c:v>0.628</c:v>
                </c:pt>
                <c:pt idx="28">
                  <c:v>0.58700000000000008</c:v>
                </c:pt>
                <c:pt idx="29">
                  <c:v>0.52200000000000002</c:v>
                </c:pt>
                <c:pt idx="30">
                  <c:v>0.495</c:v>
                </c:pt>
                <c:pt idx="31">
                  <c:v>0.48899999999999999</c:v>
                </c:pt>
                <c:pt idx="32">
                  <c:v>0.5</c:v>
                </c:pt>
                <c:pt idx="33">
                  <c:v>0.503</c:v>
                </c:pt>
                <c:pt idx="34">
                  <c:v>0.498</c:v>
                </c:pt>
                <c:pt idx="35">
                  <c:v>0.45200000000000001</c:v>
                </c:pt>
                <c:pt idx="36">
                  <c:v>0.43</c:v>
                </c:pt>
                <c:pt idx="37">
                  <c:v>0.54700000000000004</c:v>
                </c:pt>
                <c:pt idx="38">
                  <c:v>0.56799999999999995</c:v>
                </c:pt>
                <c:pt idx="39">
                  <c:v>0.59299999999999997</c:v>
                </c:pt>
                <c:pt idx="40">
                  <c:v>0.61699999999999999</c:v>
                </c:pt>
                <c:pt idx="41">
                  <c:v>0.66200000000000003</c:v>
                </c:pt>
                <c:pt idx="42">
                  <c:v>0.67700000000000005</c:v>
                </c:pt>
                <c:pt idx="43">
                  <c:v>0.67900000000000005</c:v>
                </c:pt>
                <c:pt idx="44">
                  <c:v>0.64599999999999991</c:v>
                </c:pt>
                <c:pt idx="45">
                  <c:v>0.61899999999999999</c:v>
                </c:pt>
                <c:pt idx="46">
                  <c:v>0.56999999999999995</c:v>
                </c:pt>
                <c:pt idx="47">
                  <c:v>0.52400000000000002</c:v>
                </c:pt>
                <c:pt idx="48">
                  <c:v>0.48499999999999999</c:v>
                </c:pt>
                <c:pt idx="49">
                  <c:v>0.54700000000000004</c:v>
                </c:pt>
                <c:pt idx="50">
                  <c:v>0.52400000000000002</c:v>
                </c:pt>
                <c:pt idx="51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959-BD27-EB92B38A052E}"/>
            </c:ext>
          </c:extLst>
        </c:ser>
        <c:ser>
          <c:idx val="1"/>
          <c:order val="1"/>
          <c:tx>
            <c:v>Schuldquote met MTO als anker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Backtest!$A$2:$A$53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Backtest!$AL$2:$AL$53</c:f>
              <c:numCache>
                <c:formatCode>0.00%</c:formatCode>
                <c:ptCount val="52"/>
                <c:pt idx="0">
                  <c:v>0.46399999999999997</c:v>
                </c:pt>
                <c:pt idx="1">
                  <c:v>0.41554919562705533</c:v>
                </c:pt>
                <c:pt idx="2">
                  <c:v>0.35161496034599105</c:v>
                </c:pt>
                <c:pt idx="3">
                  <c:v>0.29560768842888296</c:v>
                </c:pt>
                <c:pt idx="4">
                  <c:v>0.27495161926136291</c:v>
                </c:pt>
                <c:pt idx="5">
                  <c:v>0.2324036820940012</c:v>
                </c:pt>
                <c:pt idx="6">
                  <c:v>0.19878519354687421</c:v>
                </c:pt>
                <c:pt idx="7">
                  <c:v>0.16260553303583808</c:v>
                </c:pt>
                <c:pt idx="8">
                  <c:v>0.12969490523438496</c:v>
                </c:pt>
                <c:pt idx="9">
                  <c:v>0.10490492197020401</c:v>
                </c:pt>
                <c:pt idx="10">
                  <c:v>8.8457099361962402E-2</c:v>
                </c:pt>
                <c:pt idx="11">
                  <c:v>8.4893365131922971E-2</c:v>
                </c:pt>
                <c:pt idx="12">
                  <c:v>7.6026565106374289E-2</c:v>
                </c:pt>
                <c:pt idx="13">
                  <c:v>4.8857189879053096E-2</c:v>
                </c:pt>
                <c:pt idx="14">
                  <c:v>1.3300986277988959E-2</c:v>
                </c:pt>
                <c:pt idx="15">
                  <c:v>-3.7255500489480363E-2</c:v>
                </c:pt>
                <c:pt idx="16">
                  <c:v>-8.9172160608212356E-2</c:v>
                </c:pt>
                <c:pt idx="17">
                  <c:v>-0.14641924285969302</c:v>
                </c:pt>
                <c:pt idx="18">
                  <c:v>-0.20969379141172359</c:v>
                </c:pt>
                <c:pt idx="19">
                  <c:v>-0.28462058543812874</c:v>
                </c:pt>
                <c:pt idx="20">
                  <c:v>-0.35376360002557938</c:v>
                </c:pt>
                <c:pt idx="21">
                  <c:v>-0.41580720216892431</c:v>
                </c:pt>
                <c:pt idx="22">
                  <c:v>-0.46741606858383222</c:v>
                </c:pt>
                <c:pt idx="23">
                  <c:v>-0.50142293766406687</c:v>
                </c:pt>
                <c:pt idx="24">
                  <c:v>-0.57751937319229207</c:v>
                </c:pt>
                <c:pt idx="25">
                  <c:v>-0.61812553908007606</c:v>
                </c:pt>
                <c:pt idx="26">
                  <c:v>-0.66962581121704057</c:v>
                </c:pt>
                <c:pt idx="27">
                  <c:v>-0.70078727231124649</c:v>
                </c:pt>
                <c:pt idx="28">
                  <c:v>-0.74623430196554474</c:v>
                </c:pt>
                <c:pt idx="29">
                  <c:v>-0.79512913538808339</c:v>
                </c:pt>
                <c:pt idx="30">
                  <c:v>-0.83150354582282915</c:v>
                </c:pt>
                <c:pt idx="31">
                  <c:v>-0.85981038010024224</c:v>
                </c:pt>
                <c:pt idx="32">
                  <c:v>-0.88043962680847843</c:v>
                </c:pt>
                <c:pt idx="33">
                  <c:v>-0.88525485236029422</c:v>
                </c:pt>
                <c:pt idx="34">
                  <c:v>-0.87518273789527556</c:v>
                </c:pt>
                <c:pt idx="35">
                  <c:v>-0.8828823755473546</c:v>
                </c:pt>
                <c:pt idx="36">
                  <c:v>-0.89349299612628719</c:v>
                </c:pt>
                <c:pt idx="37">
                  <c:v>-0.78657757117990135</c:v>
                </c:pt>
                <c:pt idx="38">
                  <c:v>-0.88331499050847573</c:v>
                </c:pt>
                <c:pt idx="39">
                  <c:v>-0.89755776746561622</c:v>
                </c:pt>
                <c:pt idx="40">
                  <c:v>-0.91510641423392602</c:v>
                </c:pt>
                <c:pt idx="41">
                  <c:v>-0.9095956081151908</c:v>
                </c:pt>
                <c:pt idx="42">
                  <c:v>-0.90495133707347775</c:v>
                </c:pt>
                <c:pt idx="43">
                  <c:v>-0.90514432908785447</c:v>
                </c:pt>
                <c:pt idx="44">
                  <c:v>-0.92284368848354403</c:v>
                </c:pt>
                <c:pt idx="45">
                  <c:v>-0.92420634355620146</c:v>
                </c:pt>
                <c:pt idx="46">
                  <c:v>-0.91689939398092457</c:v>
                </c:pt>
                <c:pt idx="47">
                  <c:v>-0.90357536140287742</c:v>
                </c:pt>
                <c:pt idx="48">
                  <c:v>-0.88083228900731991</c:v>
                </c:pt>
                <c:pt idx="49">
                  <c:v>-0.8554888659193548</c:v>
                </c:pt>
                <c:pt idx="50">
                  <c:v>-0.79750172722703683</c:v>
                </c:pt>
                <c:pt idx="51">
                  <c:v>-0.7452870383682223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8-4959-BD27-EB92B38A052E}"/>
            </c:ext>
          </c:extLst>
        </c:ser>
        <c:ser>
          <c:idx val="2"/>
          <c:order val="2"/>
          <c:tx>
            <c:v>Schuldquote met schuld-stabiliserend anker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Backtest!$A$2:$A$53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Backtest!$AM$2:$AM$53</c:f>
              <c:numCache>
                <c:formatCode>0.00%</c:formatCode>
                <c:ptCount val="52"/>
                <c:pt idx="0">
                  <c:v>0.46399999999999997</c:v>
                </c:pt>
                <c:pt idx="1">
                  <c:v>0.44428286803553307</c:v>
                </c:pt>
                <c:pt idx="2">
                  <c:v>0.40453328667920491</c:v>
                </c:pt>
                <c:pt idx="3">
                  <c:v>0.37187889484622022</c:v>
                </c:pt>
                <c:pt idx="4">
                  <c:v>0.37607328376712523</c:v>
                </c:pt>
                <c:pt idx="5">
                  <c:v>0.35390215221718013</c:v>
                </c:pt>
                <c:pt idx="6">
                  <c:v>0.34642536348277314</c:v>
                </c:pt>
                <c:pt idx="7">
                  <c:v>0.33687069207002523</c:v>
                </c:pt>
                <c:pt idx="8">
                  <c:v>0.33243523694082788</c:v>
                </c:pt>
                <c:pt idx="9">
                  <c:v>0.33569937530213245</c:v>
                </c:pt>
                <c:pt idx="10">
                  <c:v>0.36496318377143139</c:v>
                </c:pt>
                <c:pt idx="11">
                  <c:v>0.41786193734051424</c:v>
                </c:pt>
                <c:pt idx="12">
                  <c:v>0.4681815715736608</c:v>
                </c:pt>
                <c:pt idx="13">
                  <c:v>0.49336884422559896</c:v>
                </c:pt>
                <c:pt idx="14">
                  <c:v>0.5217373336478367</c:v>
                </c:pt>
                <c:pt idx="15">
                  <c:v>0.52854562886311418</c:v>
                </c:pt>
                <c:pt idx="16">
                  <c:v>0.54814955605139126</c:v>
                </c:pt>
                <c:pt idx="17">
                  <c:v>0.54226072698705008</c:v>
                </c:pt>
                <c:pt idx="18">
                  <c:v>0.51810252167459514</c:v>
                </c:pt>
                <c:pt idx="19">
                  <c:v>0.48402766111544093</c:v>
                </c:pt>
                <c:pt idx="20">
                  <c:v>0.45809845060140925</c:v>
                </c:pt>
                <c:pt idx="21">
                  <c:v>0.45250027447803232</c:v>
                </c:pt>
                <c:pt idx="22">
                  <c:v>0.4705682050967494</c:v>
                </c:pt>
                <c:pt idx="23">
                  <c:v>0.47808428340178949</c:v>
                </c:pt>
                <c:pt idx="24">
                  <c:v>0.44584053035197246</c:v>
                </c:pt>
                <c:pt idx="25">
                  <c:v>0.4512796787082598</c:v>
                </c:pt>
                <c:pt idx="26">
                  <c:v>0.41821445716440525</c:v>
                </c:pt>
                <c:pt idx="27">
                  <c:v>0.40765393719532178</c:v>
                </c:pt>
                <c:pt idx="28">
                  <c:v>0.38665960413004469</c:v>
                </c:pt>
                <c:pt idx="29">
                  <c:v>0.34136128763623985</c:v>
                </c:pt>
                <c:pt idx="30">
                  <c:v>0.31974431713600726</c:v>
                </c:pt>
                <c:pt idx="31">
                  <c:v>0.31750066517818742</c:v>
                </c:pt>
                <c:pt idx="32">
                  <c:v>0.33656695779753415</c:v>
                </c:pt>
                <c:pt idx="33">
                  <c:v>0.35992999727529473</c:v>
                </c:pt>
                <c:pt idx="34">
                  <c:v>0.38336962269336083</c:v>
                </c:pt>
                <c:pt idx="35">
                  <c:v>0.35510956513407288</c:v>
                </c:pt>
                <c:pt idx="36">
                  <c:v>0.33256278900610509</c:v>
                </c:pt>
                <c:pt idx="37">
                  <c:v>0.44902526565263873</c:v>
                </c:pt>
                <c:pt idx="38">
                  <c:v>0.45267484610148434</c:v>
                </c:pt>
                <c:pt idx="39">
                  <c:v>0.45571193169198732</c:v>
                </c:pt>
                <c:pt idx="40">
                  <c:v>0.45952569392092374</c:v>
                </c:pt>
                <c:pt idx="41">
                  <c:v>0.50379023412062129</c:v>
                </c:pt>
                <c:pt idx="42">
                  <c:v>0.53129012048800828</c:v>
                </c:pt>
                <c:pt idx="43">
                  <c:v>0.54449563424984526</c:v>
                </c:pt>
                <c:pt idx="44">
                  <c:v>0.52079470497848057</c:v>
                </c:pt>
                <c:pt idx="45">
                  <c:v>0.51305497704502423</c:v>
                </c:pt>
                <c:pt idx="46">
                  <c:v>0.48978918767670671</c:v>
                </c:pt>
                <c:pt idx="47">
                  <c:v>0.46449713136329207</c:v>
                </c:pt>
                <c:pt idx="48">
                  <c:v>0.44587014263698321</c:v>
                </c:pt>
                <c:pt idx="49">
                  <c:v>0.52413279160364401</c:v>
                </c:pt>
                <c:pt idx="50">
                  <c:v>0.50349063297361707</c:v>
                </c:pt>
                <c:pt idx="51">
                  <c:v>0.46383192010595398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8-4959-BD27-EB92B38A052E}"/>
            </c:ext>
          </c:extLst>
        </c:ser>
        <c:ser>
          <c:idx val="3"/>
          <c:order val="3"/>
          <c:tx>
            <c:strRef>
              <c:f>Backtest!$AQ$1</c:f>
              <c:strCache>
                <c:ptCount val="1"/>
                <c:pt idx="0">
                  <c:v>SGP Max Schuldquote</c:v>
                </c:pt>
              </c:strCache>
            </c:strRef>
          </c:tx>
          <c:spPr>
            <a:ln cmpd="sng">
              <a:solidFill>
                <a:srgbClr val="999999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Backtest!$A$2:$A$53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Backtest!$AQ$2:$AQ$53</c:f>
              <c:numCache>
                <c:formatCode>0%</c:formatCode>
                <c:ptCount val="52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8-4959-BD27-EB92B38A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277107"/>
        <c:axId val="2085972827"/>
      </c:lineChart>
      <c:catAx>
        <c:axId val="1778277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085972827"/>
        <c:crosses val="autoZero"/>
        <c:auto val="1"/>
        <c:lblAlgn val="ctr"/>
        <c:lblOffset val="100"/>
        <c:noMultiLvlLbl val="1"/>
      </c:catAx>
      <c:valAx>
        <c:axId val="2085972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% van bbp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7782771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Backtest!$M$1</c:f>
              <c:strCache>
                <c:ptCount val="1"/>
                <c:pt idx="0">
                  <c:v>g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Backtest!$A$2:$A$53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Backtest!$M$2:$M$53</c:f>
              <c:numCache>
                <c:formatCode>0.00%</c:formatCode>
                <c:ptCount val="52"/>
                <c:pt idx="0">
                  <c:v>0.13589999999999999</c:v>
                </c:pt>
                <c:pt idx="1">
                  <c:v>0.12509999999999999</c:v>
                </c:pt>
                <c:pt idx="2">
                  <c:v>0.14360000000000001</c:v>
                </c:pt>
                <c:pt idx="3">
                  <c:v>0.1353</c:v>
                </c:pt>
                <c:pt idx="4">
                  <c:v>0.1062</c:v>
                </c:pt>
                <c:pt idx="5">
                  <c:v>0.13900000000000001</c:v>
                </c:pt>
                <c:pt idx="6">
                  <c:v>8.1299999999999997E-2</c:v>
                </c:pt>
                <c:pt idx="7">
                  <c:v>8.0399999999999999E-2</c:v>
                </c:pt>
                <c:pt idx="8">
                  <c:v>7.0999999999999994E-2</c:v>
                </c:pt>
                <c:pt idx="9">
                  <c:v>7.8799999999999995E-2</c:v>
                </c:pt>
                <c:pt idx="10">
                  <c:v>5.5399999999999998E-2</c:v>
                </c:pt>
                <c:pt idx="11">
                  <c:v>3.3399999999999999E-2</c:v>
                </c:pt>
                <c:pt idx="12">
                  <c:v>3.4299999999999997E-2</c:v>
                </c:pt>
                <c:pt idx="13">
                  <c:v>5.4699999999999999E-2</c:v>
                </c:pt>
                <c:pt idx="14">
                  <c:v>3.4200000000000001E-2</c:v>
                </c:pt>
                <c:pt idx="15">
                  <c:v>3.4200000000000001E-2</c:v>
                </c:pt>
                <c:pt idx="16">
                  <c:v>1.29E-2</c:v>
                </c:pt>
                <c:pt idx="17">
                  <c:v>4.6399999999999997E-2</c:v>
                </c:pt>
                <c:pt idx="18">
                  <c:v>5.8599999999999999E-2</c:v>
                </c:pt>
                <c:pt idx="19">
                  <c:v>5.7700000000000001E-2</c:v>
                </c:pt>
                <c:pt idx="20">
                  <c:v>5.7799999999999997E-2</c:v>
                </c:pt>
                <c:pt idx="21">
                  <c:v>4.5499999999999999E-2</c:v>
                </c:pt>
                <c:pt idx="22">
                  <c:v>3.0200000000000001E-2</c:v>
                </c:pt>
                <c:pt idx="23">
                  <c:v>5.16E-2</c:v>
                </c:pt>
                <c:pt idx="24">
                  <c:v>5.3699999999999998E-2</c:v>
                </c:pt>
                <c:pt idx="25">
                  <c:v>4.5400000000000003E-2</c:v>
                </c:pt>
                <c:pt idx="26">
                  <c:v>7.0099999999999996E-2</c:v>
                </c:pt>
                <c:pt idx="27">
                  <c:v>6.9000000000000006E-2</c:v>
                </c:pt>
                <c:pt idx="28">
                  <c:v>6.3700000000000007E-2</c:v>
                </c:pt>
                <c:pt idx="29">
                  <c:v>7.7399999999999997E-2</c:v>
                </c:pt>
                <c:pt idx="30">
                  <c:v>6.6000000000000003E-2</c:v>
                </c:pt>
                <c:pt idx="31">
                  <c:v>4.0099999999999997E-2</c:v>
                </c:pt>
                <c:pt idx="32">
                  <c:v>2.4E-2</c:v>
                </c:pt>
                <c:pt idx="33">
                  <c:v>3.2199999999999999E-2</c:v>
                </c:pt>
                <c:pt idx="34">
                  <c:v>4.1399999999999999E-2</c:v>
                </c:pt>
                <c:pt idx="35">
                  <c:v>6.1899999999999997E-2</c:v>
                </c:pt>
                <c:pt idx="36">
                  <c:v>5.9799999999999999E-2</c:v>
                </c:pt>
                <c:pt idx="37">
                  <c:v>4.5499999999999999E-2</c:v>
                </c:pt>
                <c:pt idx="38">
                  <c:v>-3.5099999999999999E-2</c:v>
                </c:pt>
                <c:pt idx="39">
                  <c:v>2.2100000000000002E-2</c:v>
                </c:pt>
                <c:pt idx="40">
                  <c:v>1.7999999999999999E-2</c:v>
                </c:pt>
                <c:pt idx="41">
                  <c:v>3.8999999999999998E-3</c:v>
                </c:pt>
                <c:pt idx="42">
                  <c:v>1.2E-2</c:v>
                </c:pt>
                <c:pt idx="43">
                  <c:v>1.7000000000000001E-2</c:v>
                </c:pt>
                <c:pt idx="44">
                  <c:v>2.8199999999999999E-2</c:v>
                </c:pt>
                <c:pt idx="45">
                  <c:v>2.7099999999999999E-2</c:v>
                </c:pt>
                <c:pt idx="46">
                  <c:v>4.24E-2</c:v>
                </c:pt>
                <c:pt idx="47">
                  <c:v>4.8599999999999997E-2</c:v>
                </c:pt>
                <c:pt idx="48">
                  <c:v>5.0599999999999999E-2</c:v>
                </c:pt>
                <c:pt idx="49">
                  <c:v>-2.07E-2</c:v>
                </c:pt>
                <c:pt idx="50">
                  <c:v>7.5200000000000003E-2</c:v>
                </c:pt>
                <c:pt idx="51">
                  <c:v>8.9899999999999994E-2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9-4728-8E29-6F6F87D616E3}"/>
            </c:ext>
          </c:extLst>
        </c:ser>
        <c:ser>
          <c:idx val="1"/>
          <c:order val="1"/>
          <c:tx>
            <c:strRef>
              <c:f>Backtest!$AF$1</c:f>
              <c:strCache>
                <c:ptCount val="1"/>
                <c:pt idx="0">
                  <c:v>p_c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Backtest!$A$2:$A$53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Backtest!$AF$2:$AF$53</c:f>
              <c:numCache>
                <c:formatCode>0.00%</c:formatCode>
                <c:ptCount val="52"/>
                <c:pt idx="0">
                  <c:v>1.3000000000000001E-2</c:v>
                </c:pt>
                <c:pt idx="1">
                  <c:v>8.0000000000000002E-3</c:v>
                </c:pt>
                <c:pt idx="2">
                  <c:v>2.4E-2</c:v>
                </c:pt>
                <c:pt idx="3">
                  <c:v>2.6000000000000002E-2</c:v>
                </c:pt>
                <c:pt idx="4">
                  <c:v>-1E-3</c:v>
                </c:pt>
                <c:pt idx="5">
                  <c:v>1.6E-2</c:v>
                </c:pt>
                <c:pt idx="6">
                  <c:v>1.6E-2</c:v>
                </c:pt>
                <c:pt idx="7">
                  <c:v>0.02</c:v>
                </c:pt>
                <c:pt idx="8">
                  <c:v>1.8000000000000002E-2</c:v>
                </c:pt>
                <c:pt idx="9">
                  <c:v>9.0000000000000011E-3</c:v>
                </c:pt>
                <c:pt idx="10">
                  <c:v>-1.3000000000000001E-2</c:v>
                </c:pt>
                <c:pt idx="11">
                  <c:v>-3.4000000000000002E-2</c:v>
                </c:pt>
                <c:pt idx="12">
                  <c:v>-2.8999999999999998E-2</c:v>
                </c:pt>
                <c:pt idx="13">
                  <c:v>-1.2E-2</c:v>
                </c:pt>
                <c:pt idx="14">
                  <c:v>-4.0000000000000001E-3</c:v>
                </c:pt>
                <c:pt idx="15">
                  <c:v>3.0000000000000001E-3</c:v>
                </c:pt>
                <c:pt idx="16">
                  <c:v>0</c:v>
                </c:pt>
                <c:pt idx="17">
                  <c:v>6.9999999999999993E-3</c:v>
                </c:pt>
                <c:pt idx="18">
                  <c:v>2.1000000000000001E-2</c:v>
                </c:pt>
                <c:pt idx="19">
                  <c:v>3.2000000000000001E-2</c:v>
                </c:pt>
                <c:pt idx="20">
                  <c:v>2.4E-2</c:v>
                </c:pt>
                <c:pt idx="21">
                  <c:v>9.0000000000000011E-3</c:v>
                </c:pt>
                <c:pt idx="22">
                  <c:v>-0.01</c:v>
                </c:pt>
                <c:pt idx="23">
                  <c:v>-1.1000000000000001E-2</c:v>
                </c:pt>
                <c:pt idx="24">
                  <c:v>-1.3000000000000001E-2</c:v>
                </c:pt>
                <c:pt idx="25">
                  <c:v>-1.2E-2</c:v>
                </c:pt>
                <c:pt idx="26">
                  <c:v>-5.0000000000000001E-3</c:v>
                </c:pt>
                <c:pt idx="27">
                  <c:v>5.0000000000000001E-3</c:v>
                </c:pt>
                <c:pt idx="28">
                  <c:v>1.9E-2</c:v>
                </c:pt>
                <c:pt idx="29">
                  <c:v>2.7000000000000003E-2</c:v>
                </c:pt>
                <c:pt idx="30">
                  <c:v>1.9E-2</c:v>
                </c:pt>
                <c:pt idx="31">
                  <c:v>-4.0000000000000001E-3</c:v>
                </c:pt>
                <c:pt idx="32">
                  <c:v>-2.3E-2</c:v>
                </c:pt>
                <c:pt idx="33">
                  <c:v>-2.1000000000000001E-2</c:v>
                </c:pt>
                <c:pt idx="34">
                  <c:v>-1.6E-2</c:v>
                </c:pt>
                <c:pt idx="35">
                  <c:v>0</c:v>
                </c:pt>
                <c:pt idx="36">
                  <c:v>1.8000000000000002E-2</c:v>
                </c:pt>
                <c:pt idx="37">
                  <c:v>2.2000000000000002E-2</c:v>
                </c:pt>
                <c:pt idx="38">
                  <c:v>-2.6000000000000002E-2</c:v>
                </c:pt>
                <c:pt idx="39">
                  <c:v>-1.9E-2</c:v>
                </c:pt>
                <c:pt idx="40">
                  <c:v>-1.2E-2</c:v>
                </c:pt>
                <c:pt idx="41">
                  <c:v>-2.6000000000000002E-2</c:v>
                </c:pt>
                <c:pt idx="42">
                  <c:v>-3.1E-2</c:v>
                </c:pt>
                <c:pt idx="43">
                  <c:v>-2.2000000000000002E-2</c:v>
                </c:pt>
                <c:pt idx="44">
                  <c:v>-1.7000000000000001E-2</c:v>
                </c:pt>
                <c:pt idx="45">
                  <c:v>-8.0000000000000002E-3</c:v>
                </c:pt>
                <c:pt idx="46">
                  <c:v>6.0000000000000001E-3</c:v>
                </c:pt>
                <c:pt idx="47">
                  <c:v>1.3000000000000001E-2</c:v>
                </c:pt>
                <c:pt idx="48">
                  <c:v>1.3999999999999999E-2</c:v>
                </c:pt>
                <c:pt idx="49">
                  <c:v>-0.04</c:v>
                </c:pt>
                <c:pt idx="50">
                  <c:v>-0.01</c:v>
                </c:pt>
                <c:pt idx="51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9-4728-8E29-6F6F87D6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93284"/>
        <c:axId val="94764033"/>
      </c:lineChart>
      <c:catAx>
        <c:axId val="1258293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94764033"/>
        <c:crosses val="autoZero"/>
        <c:auto val="1"/>
        <c:lblAlgn val="ctr"/>
        <c:lblOffset val="100"/>
        <c:noMultiLvlLbl val="1"/>
      </c:catAx>
      <c:valAx>
        <c:axId val="94764033"/>
        <c:scaling>
          <c:orientation val="minMax"/>
          <c:min val="-0.0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2582932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Backtest!$F$1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Backtest!$A$2:$A$52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Backtest!$F$2:$F$52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7-4974-B62E-39DCF54D5903}"/>
            </c:ext>
          </c:extLst>
        </c:ser>
        <c:ser>
          <c:idx val="1"/>
          <c:order val="1"/>
          <c:tx>
            <c:strRef>
              <c:f>Backtest!$G$1</c:f>
              <c:strCache>
                <c:ptCount val="1"/>
                <c:pt idx="0">
                  <c:v>Real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Backtest!$A$2:$A$52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Backtest!$G$2:$G$52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7-4974-B62E-39DCF54D5903}"/>
            </c:ext>
          </c:extLst>
        </c:ser>
        <c:ser>
          <c:idx val="2"/>
          <c:order val="2"/>
          <c:tx>
            <c:strRef>
              <c:f>Backtest!$Q$1</c:f>
              <c:strCache>
                <c:ptCount val="1"/>
                <c:pt idx="0">
                  <c:v>inflation_expectation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Backtest!$A$2:$A$52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Backtest!$Q$2:$Q$52</c:f>
              <c:numCache>
                <c:formatCode>0.00%</c:formatCode>
                <c:ptCount val="51"/>
                <c:pt idx="0">
                  <c:v>5.2000000000000005E-2</c:v>
                </c:pt>
                <c:pt idx="1">
                  <c:v>5.5E-2</c:v>
                </c:pt>
                <c:pt idx="2">
                  <c:v>5.7999999999999996E-2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7.8E-2</c:v>
                </c:pt>
                <c:pt idx="6">
                  <c:v>7.8E-2</c:v>
                </c:pt>
                <c:pt idx="7">
                  <c:v>7.8E-2</c:v>
                </c:pt>
                <c:pt idx="8">
                  <c:v>7.8E-2</c:v>
                </c:pt>
                <c:pt idx="9">
                  <c:v>7.8E-2</c:v>
                </c:pt>
                <c:pt idx="10">
                  <c:v>6.7000000000000004E-2</c:v>
                </c:pt>
                <c:pt idx="11">
                  <c:v>6.7000000000000004E-2</c:v>
                </c:pt>
                <c:pt idx="12">
                  <c:v>6.5000000000000002E-2</c:v>
                </c:pt>
                <c:pt idx="13">
                  <c:v>0.06</c:v>
                </c:pt>
                <c:pt idx="14">
                  <c:v>4.2000000000000003E-2</c:v>
                </c:pt>
                <c:pt idx="15">
                  <c:v>4.0999999999999995E-2</c:v>
                </c:pt>
                <c:pt idx="16">
                  <c:v>3.3000000000000002E-2</c:v>
                </c:pt>
                <c:pt idx="17">
                  <c:v>2.7999999999999997E-2</c:v>
                </c:pt>
                <c:pt idx="18">
                  <c:v>2.3E-2</c:v>
                </c:pt>
                <c:pt idx="19">
                  <c:v>2.3E-2</c:v>
                </c:pt>
                <c:pt idx="20">
                  <c:v>2.3E-2</c:v>
                </c:pt>
                <c:pt idx="21">
                  <c:v>2.3E-2</c:v>
                </c:pt>
                <c:pt idx="22">
                  <c:v>2.1000000000000001E-2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2.1000000000000001E-2</c:v>
                </c:pt>
                <c:pt idx="26">
                  <c:v>2.2000000000000002E-2</c:v>
                </c:pt>
                <c:pt idx="27">
                  <c:v>2.2000000000000002E-2</c:v>
                </c:pt>
                <c:pt idx="28">
                  <c:v>1.9E-2</c:v>
                </c:pt>
                <c:pt idx="29">
                  <c:v>1.8000000000000002E-2</c:v>
                </c:pt>
                <c:pt idx="30">
                  <c:v>1.8000000000000002E-2</c:v>
                </c:pt>
                <c:pt idx="31">
                  <c:v>1.9E-2</c:v>
                </c:pt>
                <c:pt idx="32">
                  <c:v>1.9E-2</c:v>
                </c:pt>
                <c:pt idx="33">
                  <c:v>1.9E-2</c:v>
                </c:pt>
                <c:pt idx="34">
                  <c:v>1.9E-2</c:v>
                </c:pt>
                <c:pt idx="35">
                  <c:v>1.9E-2</c:v>
                </c:pt>
                <c:pt idx="36">
                  <c:v>1.9E-2</c:v>
                </c:pt>
                <c:pt idx="37">
                  <c:v>0.02</c:v>
                </c:pt>
                <c:pt idx="38">
                  <c:v>1.9E-2</c:v>
                </c:pt>
                <c:pt idx="39">
                  <c:v>1.9E-2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1.9E-2</c:v>
                </c:pt>
                <c:pt idx="44">
                  <c:v>1.8000000000000002E-2</c:v>
                </c:pt>
                <c:pt idx="45">
                  <c:v>1.8000000000000002E-2</c:v>
                </c:pt>
                <c:pt idx="46">
                  <c:v>1.8000000000000002E-2</c:v>
                </c:pt>
                <c:pt idx="47">
                  <c:v>1.9E-2</c:v>
                </c:pt>
                <c:pt idx="48">
                  <c:v>1.8000000000000002E-2</c:v>
                </c:pt>
                <c:pt idx="49">
                  <c:v>1.7000000000000001E-2</c:v>
                </c:pt>
                <c:pt idx="50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7-4974-B62E-39DCF54D5903}"/>
            </c:ext>
          </c:extLst>
        </c:ser>
        <c:ser>
          <c:idx val="3"/>
          <c:order val="3"/>
          <c:tx>
            <c:strRef>
              <c:f>Backtest!$R$1</c:f>
              <c:strCache>
                <c:ptCount val="1"/>
                <c:pt idx="0">
                  <c:v>emu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Backtest!$A$2:$A$52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Backtest!$R$2:$R$52</c:f>
              <c:numCache>
                <c:formatCode>0.00%</c:formatCode>
                <c:ptCount val="51"/>
                <c:pt idx="0">
                  <c:v>-1.38592E-2</c:v>
                </c:pt>
                <c:pt idx="1">
                  <c:v>-5.0928000000000015E-3</c:v>
                </c:pt>
                <c:pt idx="2">
                  <c:v>6.9895999999999986E-3</c:v>
                </c:pt>
                <c:pt idx="3">
                  <c:v>-1.2164000000000029E-3</c:v>
                </c:pt>
                <c:pt idx="4">
                  <c:v>-2.7728599999999999E-2</c:v>
                </c:pt>
                <c:pt idx="5">
                  <c:v>-1.9253600000000003E-2</c:v>
                </c:pt>
                <c:pt idx="6">
                  <c:v>-7.0530000000000002E-3</c:v>
                </c:pt>
                <c:pt idx="7">
                  <c:v>-2.1033400000000004E-2</c:v>
                </c:pt>
                <c:pt idx="8">
                  <c:v>-2.4820399999999999E-2</c:v>
                </c:pt>
                <c:pt idx="9">
                  <c:v>-3.9623499999999999E-2</c:v>
                </c:pt>
                <c:pt idx="10">
                  <c:v>-4.9766400000000002E-2</c:v>
                </c:pt>
                <c:pt idx="11">
                  <c:v>-6.4589000000000008E-2</c:v>
                </c:pt>
                <c:pt idx="12">
                  <c:v>-5.8486299999999998E-2</c:v>
                </c:pt>
                <c:pt idx="13">
                  <c:v>-5.3219600000000006E-2</c:v>
                </c:pt>
                <c:pt idx="14">
                  <c:v>-3.9452000000000001E-2</c:v>
                </c:pt>
                <c:pt idx="15">
                  <c:v>-4.5478499999999998E-2</c:v>
                </c:pt>
                <c:pt idx="16">
                  <c:v>-5.2773500000000001E-2</c:v>
                </c:pt>
                <c:pt idx="17">
                  <c:v>-4.1749600000000005E-2</c:v>
                </c:pt>
                <c:pt idx="18">
                  <c:v>-4.7273999999999997E-2</c:v>
                </c:pt>
                <c:pt idx="19">
                  <c:v>-5.0411999999999998E-2</c:v>
                </c:pt>
                <c:pt idx="20">
                  <c:v>-2.4956800000000008E-2</c:v>
                </c:pt>
                <c:pt idx="21">
                  <c:v>-3.9614799999999992E-2</c:v>
                </c:pt>
                <c:pt idx="22">
                  <c:v>-2.6850000000000002E-2</c:v>
                </c:pt>
                <c:pt idx="23">
                  <c:v>-3.1096000000000002E-2</c:v>
                </c:pt>
                <c:pt idx="24">
                  <c:v>-4.20092256431615E-2</c:v>
                </c:pt>
                <c:pt idx="25">
                  <c:v>-1.3117390020840995E-2</c:v>
                </c:pt>
                <c:pt idx="26">
                  <c:v>1.3397645526406234E-2</c:v>
                </c:pt>
                <c:pt idx="27">
                  <c:v>-9.661456128600138E-3</c:v>
                </c:pt>
                <c:pt idx="28">
                  <c:v>5.5901225334374447E-3</c:v>
                </c:pt>
                <c:pt idx="29">
                  <c:v>2.7211884161309177E-2</c:v>
                </c:pt>
                <c:pt idx="30">
                  <c:v>-4.4394838143696777E-3</c:v>
                </c:pt>
                <c:pt idx="31">
                  <c:v>-1.1628003508771934E-2</c:v>
                </c:pt>
                <c:pt idx="32">
                  <c:v>-2.2641005683222137E-2</c:v>
                </c:pt>
                <c:pt idx="33">
                  <c:v>-1.8721166886096145E-2</c:v>
                </c:pt>
                <c:pt idx="34">
                  <c:v>-1.4707833252882808E-2</c:v>
                </c:pt>
                <c:pt idx="35">
                  <c:v>2.0093155813701791E-2</c:v>
                </c:pt>
                <c:pt idx="36">
                  <c:v>-2.4738815890252412E-3</c:v>
                </c:pt>
                <c:pt idx="37">
                  <c:v>-0.14855456277369886</c:v>
                </c:pt>
                <c:pt idx="38">
                  <c:v>8.377775138345353E-4</c:v>
                </c:pt>
                <c:pt idx="39">
                  <c:v>-3.7497687083835399E-2</c:v>
                </c:pt>
                <c:pt idx="40">
                  <c:v>-3.4839282352941182E-2</c:v>
                </c:pt>
                <c:pt idx="41">
                  <c:v>-4.9367077714248794E-2</c:v>
                </c:pt>
                <c:pt idx="42">
                  <c:v>-2.2076251787538304E-2</c:v>
                </c:pt>
                <c:pt idx="43">
                  <c:v>-1.2697698405624258E-2</c:v>
                </c:pt>
                <c:pt idx="44">
                  <c:v>1.6535180292438723E-2</c:v>
                </c:pt>
                <c:pt idx="45">
                  <c:v>1.1757429328023301E-2</c:v>
                </c:pt>
                <c:pt idx="46">
                  <c:v>2.5829441963903858E-2</c:v>
                </c:pt>
                <c:pt idx="47">
                  <c:v>1.9733609500632198E-2</c:v>
                </c:pt>
                <c:pt idx="48">
                  <c:v>1.4019841151730831E-2</c:v>
                </c:pt>
                <c:pt idx="49">
                  <c:v>-5.2575694658598307E-2</c:v>
                </c:pt>
                <c:pt idx="50">
                  <c:v>-1.8211293010406068E-2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7-4974-B62E-39DCF54D5903}"/>
            </c:ext>
          </c:extLst>
        </c:ser>
        <c:ser>
          <c:idx val="4"/>
          <c:order val="4"/>
          <c:tx>
            <c:strRef>
              <c:f>Backtest!$U$1</c:f>
              <c:strCache>
                <c:ptCount val="1"/>
                <c:pt idx="0">
                  <c:v>GDP pot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Backtest!$A$2:$A$52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Backtest!$U$2:$U$52</c:f>
              <c:numCache>
                <c:formatCode>0.00%</c:formatCode>
                <c:ptCount val="51"/>
                <c:pt idx="0">
                  <c:v>4.6963562753036481E-2</c:v>
                </c:pt>
                <c:pt idx="1">
                  <c:v>4.0216550657385941E-2</c:v>
                </c:pt>
                <c:pt idx="2">
                  <c:v>3.754646840148701E-2</c:v>
                </c:pt>
                <c:pt idx="3">
                  <c:v>3.2604801146542295E-2</c:v>
                </c:pt>
                <c:pt idx="4">
                  <c:v>2.7411519777932103E-2</c:v>
                </c:pt>
                <c:pt idx="5">
                  <c:v>2.7017899358324993E-2</c:v>
                </c:pt>
                <c:pt idx="6">
                  <c:v>2.4991779020059113E-2</c:v>
                </c:pt>
                <c:pt idx="7">
                  <c:v>2.3099133782483072E-2</c:v>
                </c:pt>
                <c:pt idx="8">
                  <c:v>2.226403261210419E-2</c:v>
                </c:pt>
                <c:pt idx="9">
                  <c:v>2.208588957055202E-2</c:v>
                </c:pt>
                <c:pt idx="10">
                  <c:v>1.4405762304922076E-2</c:v>
                </c:pt>
                <c:pt idx="11">
                  <c:v>9.4674556213016903E-3</c:v>
                </c:pt>
                <c:pt idx="12">
                  <c:v>1.5240328253223856E-2</c:v>
                </c:pt>
                <c:pt idx="13">
                  <c:v>1.2702078521940052E-2</c:v>
                </c:pt>
                <c:pt idx="14">
                  <c:v>1.7103762827822111E-2</c:v>
                </c:pt>
                <c:pt idx="15">
                  <c:v>2.1020179372197356E-2</c:v>
                </c:pt>
                <c:pt idx="16">
                  <c:v>2.2783420258029041E-2</c:v>
                </c:pt>
                <c:pt idx="17">
                  <c:v>2.7106816961889324E-2</c:v>
                </c:pt>
                <c:pt idx="18">
                  <c:v>2.9788345962895368E-2</c:v>
                </c:pt>
                <c:pt idx="19">
                  <c:v>3.0956609997462525E-2</c:v>
                </c:pt>
                <c:pt idx="20">
                  <c:v>3.1996062023135652E-2</c:v>
                </c:pt>
                <c:pt idx="21">
                  <c:v>3.2435010732172476E-2</c:v>
                </c:pt>
                <c:pt idx="22">
                  <c:v>3.1416031416031442E-2</c:v>
                </c:pt>
                <c:pt idx="23">
                  <c:v>3.1578947368421151E-2</c:v>
                </c:pt>
                <c:pt idx="24">
                  <c:v>3.2783326096395893E-2</c:v>
                </c:pt>
                <c:pt idx="25">
                  <c:v>3.4265293252049744E-2</c:v>
                </c:pt>
                <c:pt idx="26">
                  <c:v>3.5365853658536617E-2</c:v>
                </c:pt>
                <c:pt idx="27">
                  <c:v>3.6317235963879035E-2</c:v>
                </c:pt>
                <c:pt idx="28">
                  <c:v>3.6370524720591213E-2</c:v>
                </c:pt>
                <c:pt idx="29">
                  <c:v>3.3997441052824096E-2</c:v>
                </c:pt>
                <c:pt idx="30">
                  <c:v>3.1111896765069647E-2</c:v>
                </c:pt>
                <c:pt idx="31">
                  <c:v>2.4858563346476847E-2</c:v>
                </c:pt>
                <c:pt idx="32">
                  <c:v>2.0742723318835976E-2</c:v>
                </c:pt>
                <c:pt idx="33">
                  <c:v>1.835463782366431E-2</c:v>
                </c:pt>
                <c:pt idx="34">
                  <c:v>1.544898616028334E-2</c:v>
                </c:pt>
                <c:pt idx="35">
                  <c:v>1.8066561014262961E-2</c:v>
                </c:pt>
                <c:pt idx="36">
                  <c:v>1.9458281444582726E-2</c:v>
                </c:pt>
                <c:pt idx="37">
                  <c:v>1.7407237746220661E-2</c:v>
                </c:pt>
                <c:pt idx="38">
                  <c:v>1.0505778177997804E-2</c:v>
                </c:pt>
                <c:pt idx="39">
                  <c:v>6.6834991831279389E-3</c:v>
                </c:pt>
                <c:pt idx="40">
                  <c:v>7.6718796105046394E-3</c:v>
                </c:pt>
                <c:pt idx="41">
                  <c:v>4.3923865300146137E-3</c:v>
                </c:pt>
                <c:pt idx="42">
                  <c:v>3.7900874635568016E-3</c:v>
                </c:pt>
                <c:pt idx="43">
                  <c:v>5.3732210281729476E-3</c:v>
                </c:pt>
                <c:pt idx="44">
                  <c:v>1.3577928643651704E-2</c:v>
                </c:pt>
                <c:pt idx="45">
                  <c:v>1.2968505059141933E-2</c:v>
                </c:pt>
                <c:pt idx="46">
                  <c:v>1.5194147439504979E-2</c:v>
                </c:pt>
                <c:pt idx="47">
                  <c:v>1.6352549889135259E-2</c:v>
                </c:pt>
                <c:pt idx="48">
                  <c:v>1.827106626670294E-2</c:v>
                </c:pt>
                <c:pt idx="49">
                  <c:v>1.5532940546331142E-2</c:v>
                </c:pt>
                <c:pt idx="50">
                  <c:v>1.7009493670886E-2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17-4974-B62E-39DCF54D5903}"/>
            </c:ext>
          </c:extLst>
        </c:ser>
        <c:ser>
          <c:idx val="5"/>
          <c:order val="5"/>
          <c:tx>
            <c:strRef>
              <c:f>Backtest!$V$1</c:f>
              <c:strCache>
                <c:ptCount val="1"/>
                <c:pt idx="0">
                  <c:v>Output gap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Backtest!$A$2:$A$52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Backtest!$V$2:$V$52</c:f>
              <c:numCache>
                <c:formatCode>0.00%</c:formatCode>
                <c:ptCount val="51"/>
                <c:pt idx="0">
                  <c:v>1.3000000000000001E-2</c:v>
                </c:pt>
                <c:pt idx="1">
                  <c:v>8.0000000000000002E-3</c:v>
                </c:pt>
                <c:pt idx="2">
                  <c:v>2.4E-2</c:v>
                </c:pt>
                <c:pt idx="3">
                  <c:v>2.6000000000000002E-2</c:v>
                </c:pt>
                <c:pt idx="4">
                  <c:v>-1E-3</c:v>
                </c:pt>
                <c:pt idx="5">
                  <c:v>1.6E-2</c:v>
                </c:pt>
                <c:pt idx="6">
                  <c:v>1.6E-2</c:v>
                </c:pt>
                <c:pt idx="7">
                  <c:v>0.02</c:v>
                </c:pt>
                <c:pt idx="8">
                  <c:v>1.8000000000000002E-2</c:v>
                </c:pt>
                <c:pt idx="9">
                  <c:v>9.0000000000000011E-3</c:v>
                </c:pt>
                <c:pt idx="10">
                  <c:v>-1.3000000000000001E-2</c:v>
                </c:pt>
                <c:pt idx="11">
                  <c:v>-3.4000000000000002E-2</c:v>
                </c:pt>
                <c:pt idx="12">
                  <c:v>-2.8999999999999998E-2</c:v>
                </c:pt>
                <c:pt idx="13">
                  <c:v>-1.2E-2</c:v>
                </c:pt>
                <c:pt idx="14">
                  <c:v>-4.0000000000000001E-3</c:v>
                </c:pt>
                <c:pt idx="15">
                  <c:v>3.0000000000000001E-3</c:v>
                </c:pt>
                <c:pt idx="16">
                  <c:v>0</c:v>
                </c:pt>
                <c:pt idx="17">
                  <c:v>6.9999999999999993E-3</c:v>
                </c:pt>
                <c:pt idx="18">
                  <c:v>2.1000000000000001E-2</c:v>
                </c:pt>
                <c:pt idx="19">
                  <c:v>3.2000000000000001E-2</c:v>
                </c:pt>
                <c:pt idx="20">
                  <c:v>2.4E-2</c:v>
                </c:pt>
                <c:pt idx="21">
                  <c:v>9.0000000000000011E-3</c:v>
                </c:pt>
                <c:pt idx="22">
                  <c:v>-0.01</c:v>
                </c:pt>
                <c:pt idx="23">
                  <c:v>-1.1000000000000001E-2</c:v>
                </c:pt>
                <c:pt idx="24">
                  <c:v>-1.3000000000000001E-2</c:v>
                </c:pt>
                <c:pt idx="25">
                  <c:v>-1.2E-2</c:v>
                </c:pt>
                <c:pt idx="26">
                  <c:v>-5.0000000000000001E-3</c:v>
                </c:pt>
                <c:pt idx="27">
                  <c:v>5.0000000000000001E-3</c:v>
                </c:pt>
                <c:pt idx="28">
                  <c:v>1.9E-2</c:v>
                </c:pt>
                <c:pt idx="29">
                  <c:v>2.7000000000000003E-2</c:v>
                </c:pt>
                <c:pt idx="30">
                  <c:v>1.9E-2</c:v>
                </c:pt>
                <c:pt idx="31">
                  <c:v>-4.0000000000000001E-3</c:v>
                </c:pt>
                <c:pt idx="32">
                  <c:v>-2.3E-2</c:v>
                </c:pt>
                <c:pt idx="33">
                  <c:v>-2.1000000000000001E-2</c:v>
                </c:pt>
                <c:pt idx="34">
                  <c:v>-1.6E-2</c:v>
                </c:pt>
                <c:pt idx="35">
                  <c:v>0</c:v>
                </c:pt>
                <c:pt idx="36">
                  <c:v>1.8000000000000002E-2</c:v>
                </c:pt>
                <c:pt idx="37">
                  <c:v>2.2000000000000002E-2</c:v>
                </c:pt>
                <c:pt idx="38">
                  <c:v>-2.6000000000000002E-2</c:v>
                </c:pt>
                <c:pt idx="39">
                  <c:v>-1.9E-2</c:v>
                </c:pt>
                <c:pt idx="40">
                  <c:v>-1.2E-2</c:v>
                </c:pt>
                <c:pt idx="41">
                  <c:v>-2.6000000000000002E-2</c:v>
                </c:pt>
                <c:pt idx="42">
                  <c:v>-3.1E-2</c:v>
                </c:pt>
                <c:pt idx="43">
                  <c:v>-2.2000000000000002E-2</c:v>
                </c:pt>
                <c:pt idx="44">
                  <c:v>-1.7000000000000001E-2</c:v>
                </c:pt>
                <c:pt idx="45">
                  <c:v>-8.0000000000000002E-3</c:v>
                </c:pt>
                <c:pt idx="46">
                  <c:v>6.0000000000000001E-3</c:v>
                </c:pt>
                <c:pt idx="47">
                  <c:v>1.3000000000000001E-2</c:v>
                </c:pt>
                <c:pt idx="48">
                  <c:v>1.3999999999999999E-2</c:v>
                </c:pt>
                <c:pt idx="49">
                  <c:v>-0.04</c:v>
                </c:pt>
                <c:pt idx="5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17-4974-B62E-39DCF54D5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076818"/>
        <c:axId val="398992924"/>
      </c:lineChart>
      <c:catAx>
        <c:axId val="971076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398992924"/>
        <c:crosses val="autoZero"/>
        <c:auto val="1"/>
        <c:lblAlgn val="ctr"/>
        <c:lblOffset val="100"/>
        <c:noMultiLvlLbl val="1"/>
      </c:catAx>
      <c:valAx>
        <c:axId val="398992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9710768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SBR advies stuurde in 2012 en 2017 aan op grotere surplussen dan 2007, 2010 en 2021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Doelsaldo SBR Advies</c:v>
          </c:tx>
          <c:spPr>
            <a:ln cmpd="sng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'SBR Advies'!$A$5:$A$9</c:f>
              <c:numCache>
                <c:formatCode>General</c:formatCode>
                <c:ptCount val="5"/>
                <c:pt idx="0">
                  <c:v>2007</c:v>
                </c:pt>
                <c:pt idx="1">
                  <c:v>2010</c:v>
                </c:pt>
                <c:pt idx="2">
                  <c:v>2012</c:v>
                </c:pt>
                <c:pt idx="3">
                  <c:v>2017</c:v>
                </c:pt>
                <c:pt idx="4">
                  <c:v>2021</c:v>
                </c:pt>
              </c:numCache>
            </c:numRef>
          </c:cat>
          <c:val>
            <c:numRef>
              <c:f>'SBR Advies'!$N$5:$N$9</c:f>
              <c:numCache>
                <c:formatCode>0.00%</c:formatCode>
                <c:ptCount val="5"/>
                <c:pt idx="0">
                  <c:v>7.705E-3</c:v>
                </c:pt>
                <c:pt idx="1">
                  <c:v>-3.5798000000000045E-3</c:v>
                </c:pt>
                <c:pt idx="2">
                  <c:v>1.4606399999999999E-2</c:v>
                </c:pt>
                <c:pt idx="3">
                  <c:v>1.5233999999999999E-2</c:v>
                </c:pt>
                <c:pt idx="4">
                  <c:v>-1.3550400000000001E-2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7-4E61-9C2A-1310D268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67132"/>
        <c:axId val="1416792591"/>
      </c:lineChart>
      <c:lineChart>
        <c:grouping val="standard"/>
        <c:varyColors val="0"/>
        <c:ser>
          <c:idx val="0"/>
          <c:order val="0"/>
          <c:tx>
            <c:v>Conjunctuur</c:v>
          </c:tx>
          <c:spPr>
            <a:ln cmpd="sng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numRef>
              <c:f>'SBR Advies'!$A$5:$A$9</c:f>
              <c:numCache>
                <c:formatCode>General</c:formatCode>
                <c:ptCount val="5"/>
                <c:pt idx="0">
                  <c:v>2007</c:v>
                </c:pt>
                <c:pt idx="1">
                  <c:v>2010</c:v>
                </c:pt>
                <c:pt idx="2">
                  <c:v>2012</c:v>
                </c:pt>
                <c:pt idx="3">
                  <c:v>2017</c:v>
                </c:pt>
                <c:pt idx="4">
                  <c:v>2021</c:v>
                </c:pt>
              </c:numCache>
            </c:numRef>
          </c:cat>
          <c:val>
            <c:numRef>
              <c:f>'SBR Advies'!$J$5:$J$9</c:f>
              <c:numCache>
                <c:formatCode>0.00%</c:formatCode>
                <c:ptCount val="5"/>
                <c:pt idx="0">
                  <c:v>1.8000000000000002E-2</c:v>
                </c:pt>
                <c:pt idx="1">
                  <c:v>-1.9E-2</c:v>
                </c:pt>
                <c:pt idx="2">
                  <c:v>-2.6000000000000002E-2</c:v>
                </c:pt>
                <c:pt idx="3">
                  <c:v>6.0000000000000001E-3</c:v>
                </c:pt>
                <c:pt idx="4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7-4E61-9C2A-1310D268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934590"/>
        <c:axId val="1490228360"/>
      </c:lineChart>
      <c:catAx>
        <c:axId val="1524367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416792591"/>
        <c:crosses val="autoZero"/>
        <c:auto val="1"/>
        <c:lblAlgn val="ctr"/>
        <c:lblOffset val="100"/>
        <c:noMultiLvlLbl val="1"/>
      </c:catAx>
      <c:valAx>
        <c:axId val="1416792591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Strucvtureel Primair Saldo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524367132"/>
        <c:crosses val="autoZero"/>
        <c:crossBetween val="between"/>
      </c:valAx>
      <c:catAx>
        <c:axId val="200193459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0228360"/>
        <c:crosses val="autoZero"/>
        <c:auto val="1"/>
        <c:lblAlgn val="ctr"/>
        <c:lblOffset val="100"/>
        <c:noMultiLvlLbl val="1"/>
      </c:catAx>
      <c:valAx>
        <c:axId val="1490228360"/>
        <c:scaling>
          <c:orientation val="minMax"/>
          <c:max val="0.0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Output Gap in % BBP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00193459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Totaal, 1. Algemeen overheidsbestuur, 2. Landsverdediging, 3. Openbare orde en veiligheid, 4. Economische aangelegenheden…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overheidsuitgaven_nominaal!$C$1</c:f>
              <c:strCache>
                <c:ptCount val="1"/>
                <c:pt idx="0">
                  <c:v>Totaal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overheidsuitgaven_nominaal!$A$2:$A$28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overheidsuitgaven_nominaal!$C$2:$C$28</c:f>
              <c:numCache>
                <c:formatCode>General</c:formatCode>
                <c:ptCount val="27"/>
                <c:pt idx="0">
                  <c:v>177808</c:v>
                </c:pt>
                <c:pt idx="1">
                  <c:v>162719</c:v>
                </c:pt>
                <c:pt idx="2">
                  <c:v>168737</c:v>
                </c:pt>
                <c:pt idx="3">
                  <c:v>175667</c:v>
                </c:pt>
                <c:pt idx="4">
                  <c:v>182890</c:v>
                </c:pt>
                <c:pt idx="5">
                  <c:v>191530</c:v>
                </c:pt>
                <c:pt idx="6">
                  <c:v>207640</c:v>
                </c:pt>
                <c:pt idx="7">
                  <c:v>218881</c:v>
                </c:pt>
                <c:pt idx="8">
                  <c:v>229208</c:v>
                </c:pt>
                <c:pt idx="9">
                  <c:v>231037</c:v>
                </c:pt>
                <c:pt idx="10">
                  <c:v>234593</c:v>
                </c:pt>
                <c:pt idx="11">
                  <c:v>253629</c:v>
                </c:pt>
                <c:pt idx="12">
                  <c:v>264371</c:v>
                </c:pt>
                <c:pt idx="13">
                  <c:v>281277</c:v>
                </c:pt>
                <c:pt idx="14">
                  <c:v>299259</c:v>
                </c:pt>
                <c:pt idx="15">
                  <c:v>307878</c:v>
                </c:pt>
                <c:pt idx="16">
                  <c:v>306631</c:v>
                </c:pt>
                <c:pt idx="17">
                  <c:v>307043</c:v>
                </c:pt>
                <c:pt idx="18">
                  <c:v>309368</c:v>
                </c:pt>
                <c:pt idx="19">
                  <c:v>309489</c:v>
                </c:pt>
                <c:pt idx="20">
                  <c:v>309465</c:v>
                </c:pt>
                <c:pt idx="21">
                  <c:v>309167</c:v>
                </c:pt>
                <c:pt idx="22">
                  <c:v>313410</c:v>
                </c:pt>
                <c:pt idx="23">
                  <c:v>327239</c:v>
                </c:pt>
                <c:pt idx="24">
                  <c:v>342493</c:v>
                </c:pt>
                <c:pt idx="25">
                  <c:v>380991</c:v>
                </c:pt>
                <c:pt idx="26">
                  <c:v>399073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6-4966-982A-7ABE67264FCB}"/>
            </c:ext>
          </c:extLst>
        </c:ser>
        <c:ser>
          <c:idx val="1"/>
          <c:order val="1"/>
          <c:tx>
            <c:strRef>
              <c:f>overheidsuitgaven_nominaal!$D$1</c:f>
              <c:strCache>
                <c:ptCount val="1"/>
                <c:pt idx="0">
                  <c:v>Core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overheidsuitgaven_nominaal!$A$2:$A$28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overheidsuitgaven_nominaal!$D$2:$D$28</c:f>
              <c:numCache>
                <c:formatCode>General</c:formatCode>
                <c:ptCount val="27"/>
                <c:pt idx="0">
                  <c:v>339283</c:v>
                </c:pt>
                <c:pt idx="1">
                  <c:v>325994</c:v>
                </c:pt>
                <c:pt idx="2">
                  <c:v>339963</c:v>
                </c:pt>
                <c:pt idx="3">
                  <c:v>354123</c:v>
                </c:pt>
                <c:pt idx="4">
                  <c:v>371643</c:v>
                </c:pt>
                <c:pt idx="5">
                  <c:v>393047</c:v>
                </c:pt>
                <c:pt idx="6">
                  <c:v>425223</c:v>
                </c:pt>
                <c:pt idx="7">
                  <c:v>450107</c:v>
                </c:pt>
                <c:pt idx="8">
                  <c:v>471448</c:v>
                </c:pt>
                <c:pt idx="9">
                  <c:v>478252</c:v>
                </c:pt>
                <c:pt idx="10">
                  <c:v>489689</c:v>
                </c:pt>
                <c:pt idx="11">
                  <c:v>539944</c:v>
                </c:pt>
                <c:pt idx="12">
                  <c:v>562699</c:v>
                </c:pt>
                <c:pt idx="13">
                  <c:v>596437</c:v>
                </c:pt>
                <c:pt idx="14">
                  <c:v>623553</c:v>
                </c:pt>
                <c:pt idx="15">
                  <c:v>646452</c:v>
                </c:pt>
                <c:pt idx="16">
                  <c:v>641806</c:v>
                </c:pt>
                <c:pt idx="17">
                  <c:v>643722</c:v>
                </c:pt>
                <c:pt idx="18">
                  <c:v>646970</c:v>
                </c:pt>
                <c:pt idx="19">
                  <c:v>649232</c:v>
                </c:pt>
                <c:pt idx="20">
                  <c:v>650527</c:v>
                </c:pt>
                <c:pt idx="21">
                  <c:v>642270</c:v>
                </c:pt>
                <c:pt idx="22">
                  <c:v>653124</c:v>
                </c:pt>
                <c:pt idx="23">
                  <c:v>686860</c:v>
                </c:pt>
                <c:pt idx="24">
                  <c:v>719794</c:v>
                </c:pt>
                <c:pt idx="25">
                  <c:v>783614</c:v>
                </c:pt>
                <c:pt idx="26">
                  <c:v>827691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6-4966-982A-7ABE67264FCB}"/>
            </c:ext>
          </c:extLst>
        </c:ser>
        <c:ser>
          <c:idx val="2"/>
          <c:order val="2"/>
          <c:tx>
            <c:strRef>
              <c:f>overheidsuitgaven_nominaal!$E$1</c:f>
              <c:strCache>
                <c:ptCount val="1"/>
                <c:pt idx="0">
                  <c:v>1. Algemeen overheidsbestuur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overheidsuitgaven_nominaal!$A$2:$A$28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overheidsuitgaven_nominaal!$E$2:$E$28</c:f>
              <c:numCache>
                <c:formatCode>General</c:formatCode>
                <c:ptCount val="27"/>
                <c:pt idx="0">
                  <c:v>30013</c:v>
                </c:pt>
                <c:pt idx="1">
                  <c:v>29713</c:v>
                </c:pt>
                <c:pt idx="2">
                  <c:v>30176</c:v>
                </c:pt>
                <c:pt idx="3">
                  <c:v>30990</c:v>
                </c:pt>
                <c:pt idx="4">
                  <c:v>31505</c:v>
                </c:pt>
                <c:pt idx="5">
                  <c:v>31865</c:v>
                </c:pt>
                <c:pt idx="6">
                  <c:v>32467</c:v>
                </c:pt>
                <c:pt idx="7">
                  <c:v>31874</c:v>
                </c:pt>
                <c:pt idx="8">
                  <c:v>31576</c:v>
                </c:pt>
                <c:pt idx="9">
                  <c:v>31837</c:v>
                </c:pt>
                <c:pt idx="10">
                  <c:v>32566</c:v>
                </c:pt>
                <c:pt idx="11">
                  <c:v>33691</c:v>
                </c:pt>
                <c:pt idx="12">
                  <c:v>33954</c:v>
                </c:pt>
                <c:pt idx="13">
                  <c:v>36750</c:v>
                </c:pt>
                <c:pt idx="14">
                  <c:v>34364</c:v>
                </c:pt>
                <c:pt idx="15">
                  <c:v>36266</c:v>
                </c:pt>
                <c:pt idx="16">
                  <c:v>34631</c:v>
                </c:pt>
                <c:pt idx="17">
                  <c:v>33965</c:v>
                </c:pt>
                <c:pt idx="18">
                  <c:v>33822</c:v>
                </c:pt>
                <c:pt idx="19">
                  <c:v>34605</c:v>
                </c:pt>
                <c:pt idx="20">
                  <c:v>33814</c:v>
                </c:pt>
                <c:pt idx="21">
                  <c:v>30483</c:v>
                </c:pt>
                <c:pt idx="22">
                  <c:v>29742</c:v>
                </c:pt>
                <c:pt idx="23">
                  <c:v>31293</c:v>
                </c:pt>
                <c:pt idx="24">
                  <c:v>32307</c:v>
                </c:pt>
                <c:pt idx="25">
                  <c:v>33119</c:v>
                </c:pt>
                <c:pt idx="26">
                  <c:v>33424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6-4966-982A-7ABE67264FCB}"/>
            </c:ext>
          </c:extLst>
        </c:ser>
        <c:ser>
          <c:idx val="3"/>
          <c:order val="3"/>
          <c:tx>
            <c:strRef>
              <c:f>overheidsuitgaven_nominaal!$J$1</c:f>
              <c:strCache>
                <c:ptCount val="1"/>
                <c:pt idx="0">
                  <c:v>2. Landsverdediging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overheidsuitgaven_nominaal!$A$2:$A$28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overheidsuitgaven_nominaal!$J$2:$J$28</c:f>
              <c:numCache>
                <c:formatCode>General</c:formatCode>
                <c:ptCount val="27"/>
                <c:pt idx="0">
                  <c:v>6100</c:v>
                </c:pt>
                <c:pt idx="1">
                  <c:v>6195</c:v>
                </c:pt>
                <c:pt idx="2">
                  <c:v>6110</c:v>
                </c:pt>
                <c:pt idx="3">
                  <c:v>6137</c:v>
                </c:pt>
                <c:pt idx="4">
                  <c:v>6812</c:v>
                </c:pt>
                <c:pt idx="5">
                  <c:v>6607</c:v>
                </c:pt>
                <c:pt idx="6">
                  <c:v>7155</c:v>
                </c:pt>
                <c:pt idx="7">
                  <c:v>7145</c:v>
                </c:pt>
                <c:pt idx="8">
                  <c:v>7250</c:v>
                </c:pt>
                <c:pt idx="9">
                  <c:v>7263</c:v>
                </c:pt>
                <c:pt idx="10">
                  <c:v>6710</c:v>
                </c:pt>
                <c:pt idx="11">
                  <c:v>7424</c:v>
                </c:pt>
                <c:pt idx="12">
                  <c:v>7879</c:v>
                </c:pt>
                <c:pt idx="13">
                  <c:v>8086</c:v>
                </c:pt>
                <c:pt idx="14">
                  <c:v>8529</c:v>
                </c:pt>
                <c:pt idx="15">
                  <c:v>8126</c:v>
                </c:pt>
                <c:pt idx="16">
                  <c:v>8108</c:v>
                </c:pt>
                <c:pt idx="17">
                  <c:v>7475</c:v>
                </c:pt>
                <c:pt idx="18">
                  <c:v>7503</c:v>
                </c:pt>
                <c:pt idx="19">
                  <c:v>7288</c:v>
                </c:pt>
                <c:pt idx="20">
                  <c:v>7708</c:v>
                </c:pt>
                <c:pt idx="21">
                  <c:v>8015</c:v>
                </c:pt>
                <c:pt idx="22">
                  <c:v>8531</c:v>
                </c:pt>
                <c:pt idx="23">
                  <c:v>9074</c:v>
                </c:pt>
                <c:pt idx="24">
                  <c:v>10000</c:v>
                </c:pt>
                <c:pt idx="25">
                  <c:v>10718</c:v>
                </c:pt>
                <c:pt idx="26">
                  <c:v>11132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6-4966-982A-7ABE67264FCB}"/>
            </c:ext>
          </c:extLst>
        </c:ser>
        <c:ser>
          <c:idx val="4"/>
          <c:order val="4"/>
          <c:tx>
            <c:strRef>
              <c:f>overheidsuitgaven_nominaal!$K$1</c:f>
              <c:strCache>
                <c:ptCount val="1"/>
                <c:pt idx="0">
                  <c:v>3. Openbare orde en veiligheid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overheidsuitgaven_nominaal!$A$2:$A$28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overheidsuitgaven_nominaal!$K$2:$K$28</c:f>
              <c:numCache>
                <c:formatCode>General</c:formatCode>
                <c:ptCount val="27"/>
                <c:pt idx="0">
                  <c:v>4644</c:v>
                </c:pt>
                <c:pt idx="1">
                  <c:v>4905</c:v>
                </c:pt>
                <c:pt idx="2">
                  <c:v>5158</c:v>
                </c:pt>
                <c:pt idx="3">
                  <c:v>5564</c:v>
                </c:pt>
                <c:pt idx="4">
                  <c:v>5989</c:v>
                </c:pt>
                <c:pt idx="5">
                  <c:v>6712</c:v>
                </c:pt>
                <c:pt idx="6">
                  <c:v>7574</c:v>
                </c:pt>
                <c:pt idx="7">
                  <c:v>8357</c:v>
                </c:pt>
                <c:pt idx="8">
                  <c:v>8977</c:v>
                </c:pt>
                <c:pt idx="9">
                  <c:v>9262</c:v>
                </c:pt>
                <c:pt idx="10">
                  <c:v>9497</c:v>
                </c:pt>
                <c:pt idx="11">
                  <c:v>10324</c:v>
                </c:pt>
                <c:pt idx="12">
                  <c:v>11238</c:v>
                </c:pt>
                <c:pt idx="13">
                  <c:v>11862</c:v>
                </c:pt>
                <c:pt idx="14">
                  <c:v>12561</c:v>
                </c:pt>
                <c:pt idx="15">
                  <c:v>12430</c:v>
                </c:pt>
                <c:pt idx="16">
                  <c:v>12357</c:v>
                </c:pt>
                <c:pt idx="17">
                  <c:v>12549</c:v>
                </c:pt>
                <c:pt idx="18">
                  <c:v>12968</c:v>
                </c:pt>
                <c:pt idx="19">
                  <c:v>12548</c:v>
                </c:pt>
                <c:pt idx="20">
                  <c:v>13030</c:v>
                </c:pt>
                <c:pt idx="21">
                  <c:v>13341</c:v>
                </c:pt>
                <c:pt idx="22">
                  <c:v>13250</c:v>
                </c:pt>
                <c:pt idx="23">
                  <c:v>14205</c:v>
                </c:pt>
                <c:pt idx="24">
                  <c:v>15012</c:v>
                </c:pt>
                <c:pt idx="25">
                  <c:v>16051</c:v>
                </c:pt>
                <c:pt idx="26">
                  <c:v>16737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6-4966-982A-7ABE67264FCB}"/>
            </c:ext>
          </c:extLst>
        </c:ser>
        <c:ser>
          <c:idx val="5"/>
          <c:order val="5"/>
          <c:tx>
            <c:strRef>
              <c:f>overheidsuitgaven_nominaal!$L$1</c:f>
              <c:strCache>
                <c:ptCount val="1"/>
                <c:pt idx="0">
                  <c:v>4. Economische aangelegenheden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overheidsuitgaven_nominaal!$A$2:$A$28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overheidsuitgaven_nominaal!$L$2:$L$28</c:f>
              <c:numCache>
                <c:formatCode>General</c:formatCode>
                <c:ptCount val="27"/>
                <c:pt idx="0">
                  <c:v>15669</c:v>
                </c:pt>
                <c:pt idx="1">
                  <c:v>16487</c:v>
                </c:pt>
                <c:pt idx="2">
                  <c:v>18487</c:v>
                </c:pt>
                <c:pt idx="3">
                  <c:v>20053</c:v>
                </c:pt>
                <c:pt idx="4">
                  <c:v>21205</c:v>
                </c:pt>
                <c:pt idx="5">
                  <c:v>22377</c:v>
                </c:pt>
                <c:pt idx="6">
                  <c:v>26096</c:v>
                </c:pt>
                <c:pt idx="7">
                  <c:v>26559</c:v>
                </c:pt>
                <c:pt idx="8">
                  <c:v>26951</c:v>
                </c:pt>
                <c:pt idx="9">
                  <c:v>26000</c:v>
                </c:pt>
                <c:pt idx="10">
                  <c:v>25812</c:v>
                </c:pt>
                <c:pt idx="11">
                  <c:v>26787</c:v>
                </c:pt>
                <c:pt idx="12">
                  <c:v>27625</c:v>
                </c:pt>
                <c:pt idx="13">
                  <c:v>29738</c:v>
                </c:pt>
                <c:pt idx="14">
                  <c:v>34364</c:v>
                </c:pt>
                <c:pt idx="15">
                  <c:v>33851</c:v>
                </c:pt>
                <c:pt idx="16">
                  <c:v>32126</c:v>
                </c:pt>
                <c:pt idx="17">
                  <c:v>30195</c:v>
                </c:pt>
                <c:pt idx="18">
                  <c:v>29951</c:v>
                </c:pt>
                <c:pt idx="19">
                  <c:v>29188</c:v>
                </c:pt>
                <c:pt idx="20">
                  <c:v>27310</c:v>
                </c:pt>
                <c:pt idx="21">
                  <c:v>27666</c:v>
                </c:pt>
                <c:pt idx="22">
                  <c:v>27902</c:v>
                </c:pt>
                <c:pt idx="23">
                  <c:v>29420</c:v>
                </c:pt>
                <c:pt idx="24">
                  <c:v>31241</c:v>
                </c:pt>
                <c:pt idx="25">
                  <c:v>49856</c:v>
                </c:pt>
                <c:pt idx="26">
                  <c:v>50352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86-4966-982A-7ABE67264FCB}"/>
            </c:ext>
          </c:extLst>
        </c:ser>
        <c:ser>
          <c:idx val="6"/>
          <c:order val="6"/>
          <c:tx>
            <c:strRef>
              <c:f>overheidsuitgaven_nominaal!$M$1</c:f>
              <c:strCache>
                <c:ptCount val="1"/>
                <c:pt idx="0">
                  <c:v>5. Milieubescherming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overheidsuitgaven_nominaal!$A$2:$A$28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overheidsuitgaven_nominaal!$M$2:$M$28</c:f>
              <c:numCache>
                <c:formatCode>General</c:formatCode>
                <c:ptCount val="27"/>
                <c:pt idx="0">
                  <c:v>5381</c:v>
                </c:pt>
                <c:pt idx="1">
                  <c:v>5538</c:v>
                </c:pt>
                <c:pt idx="2">
                  <c:v>5771</c:v>
                </c:pt>
                <c:pt idx="3">
                  <c:v>5914</c:v>
                </c:pt>
                <c:pt idx="4">
                  <c:v>6199</c:v>
                </c:pt>
                <c:pt idx="5">
                  <c:v>6777</c:v>
                </c:pt>
                <c:pt idx="6">
                  <c:v>7089</c:v>
                </c:pt>
                <c:pt idx="7">
                  <c:v>7868</c:v>
                </c:pt>
                <c:pt idx="8">
                  <c:v>8368</c:v>
                </c:pt>
                <c:pt idx="9">
                  <c:v>8551</c:v>
                </c:pt>
                <c:pt idx="10">
                  <c:v>8689</c:v>
                </c:pt>
                <c:pt idx="11">
                  <c:v>9219</c:v>
                </c:pt>
                <c:pt idx="12">
                  <c:v>9671</c:v>
                </c:pt>
                <c:pt idx="13">
                  <c:v>10196</c:v>
                </c:pt>
                <c:pt idx="14">
                  <c:v>10874</c:v>
                </c:pt>
                <c:pt idx="15">
                  <c:v>10425</c:v>
                </c:pt>
                <c:pt idx="16">
                  <c:v>10327</c:v>
                </c:pt>
                <c:pt idx="17">
                  <c:v>10097</c:v>
                </c:pt>
                <c:pt idx="18">
                  <c:v>10138</c:v>
                </c:pt>
                <c:pt idx="19">
                  <c:v>9559</c:v>
                </c:pt>
                <c:pt idx="20">
                  <c:v>9320</c:v>
                </c:pt>
                <c:pt idx="21">
                  <c:v>9827</c:v>
                </c:pt>
                <c:pt idx="22">
                  <c:v>9973</c:v>
                </c:pt>
                <c:pt idx="23">
                  <c:v>10649</c:v>
                </c:pt>
                <c:pt idx="24">
                  <c:v>11106</c:v>
                </c:pt>
                <c:pt idx="25">
                  <c:v>11838</c:v>
                </c:pt>
                <c:pt idx="26">
                  <c:v>11938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86-4966-982A-7ABE67264FCB}"/>
            </c:ext>
          </c:extLst>
        </c:ser>
        <c:ser>
          <c:idx val="7"/>
          <c:order val="7"/>
          <c:tx>
            <c:strRef>
              <c:f>overheidsuitgaven_nominaal!$N$1</c:f>
              <c:strCache>
                <c:ptCount val="1"/>
                <c:pt idx="0">
                  <c:v>6. Huisvesting en gemeenschapsvoorzien..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overheidsuitgaven_nominaal!$A$2:$A$28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overheidsuitgaven_nominaal!$N$2:$N$28</c:f>
              <c:numCache>
                <c:formatCode>General</c:formatCode>
                <c:ptCount val="27"/>
                <c:pt idx="0">
                  <c:v>17976</c:v>
                </c:pt>
                <c:pt idx="1">
                  <c:v>1356</c:v>
                </c:pt>
                <c:pt idx="2">
                  <c:v>1832</c:v>
                </c:pt>
                <c:pt idx="3">
                  <c:v>2409</c:v>
                </c:pt>
                <c:pt idx="4">
                  <c:v>2280</c:v>
                </c:pt>
                <c:pt idx="5">
                  <c:v>2587</c:v>
                </c:pt>
                <c:pt idx="6">
                  <c:v>3403</c:v>
                </c:pt>
                <c:pt idx="7">
                  <c:v>3714</c:v>
                </c:pt>
                <c:pt idx="8">
                  <c:v>4370</c:v>
                </c:pt>
                <c:pt idx="9">
                  <c:v>2862</c:v>
                </c:pt>
                <c:pt idx="10">
                  <c:v>2327</c:v>
                </c:pt>
                <c:pt idx="11">
                  <c:v>2655</c:v>
                </c:pt>
                <c:pt idx="12">
                  <c:v>2866</c:v>
                </c:pt>
                <c:pt idx="13">
                  <c:v>3520</c:v>
                </c:pt>
                <c:pt idx="14">
                  <c:v>4612</c:v>
                </c:pt>
                <c:pt idx="15">
                  <c:v>4191</c:v>
                </c:pt>
                <c:pt idx="16">
                  <c:v>3395</c:v>
                </c:pt>
                <c:pt idx="17">
                  <c:v>3627</c:v>
                </c:pt>
                <c:pt idx="18">
                  <c:v>3699</c:v>
                </c:pt>
                <c:pt idx="19">
                  <c:v>3418</c:v>
                </c:pt>
                <c:pt idx="20">
                  <c:v>3292</c:v>
                </c:pt>
                <c:pt idx="21">
                  <c:v>2960</c:v>
                </c:pt>
                <c:pt idx="22">
                  <c:v>2752</c:v>
                </c:pt>
                <c:pt idx="23">
                  <c:v>3456</c:v>
                </c:pt>
                <c:pt idx="24">
                  <c:v>3635</c:v>
                </c:pt>
                <c:pt idx="25">
                  <c:v>3765</c:v>
                </c:pt>
                <c:pt idx="26">
                  <c:v>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86-4966-982A-7ABE67264FCB}"/>
            </c:ext>
          </c:extLst>
        </c:ser>
        <c:ser>
          <c:idx val="8"/>
          <c:order val="8"/>
          <c:tx>
            <c:strRef>
              <c:f>overheidsuitgaven_nominaal!$O$1</c:f>
              <c:strCache>
                <c:ptCount val="1"/>
                <c:pt idx="0">
                  <c:v>7. Volksgezondheid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overheidsuitgaven_nominaal!$A$2:$A$28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overheidsuitgaven_nominaal!$O$2:$O$28</c:f>
              <c:numCache>
                <c:formatCode>General</c:formatCode>
                <c:ptCount val="27"/>
                <c:pt idx="0">
                  <c:v>15381</c:v>
                </c:pt>
                <c:pt idx="1">
                  <c:v>15239</c:v>
                </c:pt>
                <c:pt idx="2">
                  <c:v>17081</c:v>
                </c:pt>
                <c:pt idx="3">
                  <c:v>17944</c:v>
                </c:pt>
                <c:pt idx="4">
                  <c:v>18965</c:v>
                </c:pt>
                <c:pt idx="5">
                  <c:v>20930</c:v>
                </c:pt>
                <c:pt idx="6">
                  <c:v>22997</c:v>
                </c:pt>
                <c:pt idx="7">
                  <c:v>25799</c:v>
                </c:pt>
                <c:pt idx="8">
                  <c:v>27647</c:v>
                </c:pt>
                <c:pt idx="9">
                  <c:v>28384</c:v>
                </c:pt>
                <c:pt idx="10">
                  <c:v>29540</c:v>
                </c:pt>
                <c:pt idx="11">
                  <c:v>38846</c:v>
                </c:pt>
                <c:pt idx="12">
                  <c:v>41596</c:v>
                </c:pt>
                <c:pt idx="13">
                  <c:v>42396</c:v>
                </c:pt>
                <c:pt idx="14">
                  <c:v>46330</c:v>
                </c:pt>
                <c:pt idx="15">
                  <c:v>49574</c:v>
                </c:pt>
                <c:pt idx="16">
                  <c:v>51252</c:v>
                </c:pt>
                <c:pt idx="17">
                  <c:v>53083</c:v>
                </c:pt>
                <c:pt idx="18">
                  <c:v>53053</c:v>
                </c:pt>
                <c:pt idx="19">
                  <c:v>53474</c:v>
                </c:pt>
                <c:pt idx="20">
                  <c:v>53267</c:v>
                </c:pt>
                <c:pt idx="21">
                  <c:v>51352</c:v>
                </c:pt>
                <c:pt idx="22">
                  <c:v>53792</c:v>
                </c:pt>
                <c:pt idx="23">
                  <c:v>56857</c:v>
                </c:pt>
                <c:pt idx="24">
                  <c:v>59837</c:v>
                </c:pt>
                <c:pt idx="25">
                  <c:v>66413</c:v>
                </c:pt>
                <c:pt idx="26">
                  <c:v>74414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86-4966-982A-7ABE67264FCB}"/>
            </c:ext>
          </c:extLst>
        </c:ser>
        <c:ser>
          <c:idx val="9"/>
          <c:order val="9"/>
          <c:tx>
            <c:strRef>
              <c:f>overheidsuitgaven_nominaal!$P$1</c:f>
              <c:strCache>
                <c:ptCount val="1"/>
                <c:pt idx="0">
                  <c:v>8. Recreatie, cultuur en religie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overheidsuitgaven_nominaal!$A$2:$A$28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overheidsuitgaven_nominaal!$P$2:$P$28</c:f>
              <c:numCache>
                <c:formatCode>General</c:formatCode>
                <c:ptCount val="27"/>
                <c:pt idx="0">
                  <c:v>4031</c:v>
                </c:pt>
                <c:pt idx="1">
                  <c:v>4129</c:v>
                </c:pt>
                <c:pt idx="2">
                  <c:v>4507</c:v>
                </c:pt>
                <c:pt idx="3">
                  <c:v>4837</c:v>
                </c:pt>
                <c:pt idx="4">
                  <c:v>5295</c:v>
                </c:pt>
                <c:pt idx="5">
                  <c:v>5835</c:v>
                </c:pt>
                <c:pt idx="6">
                  <c:v>6923</c:v>
                </c:pt>
                <c:pt idx="7">
                  <c:v>7407</c:v>
                </c:pt>
                <c:pt idx="8">
                  <c:v>7568</c:v>
                </c:pt>
                <c:pt idx="9">
                  <c:v>7600</c:v>
                </c:pt>
                <c:pt idx="10">
                  <c:v>7749</c:v>
                </c:pt>
                <c:pt idx="11">
                  <c:v>8203</c:v>
                </c:pt>
                <c:pt idx="12">
                  <c:v>8194</c:v>
                </c:pt>
                <c:pt idx="13">
                  <c:v>9233</c:v>
                </c:pt>
                <c:pt idx="14">
                  <c:v>9764</c:v>
                </c:pt>
                <c:pt idx="15">
                  <c:v>9704</c:v>
                </c:pt>
                <c:pt idx="16">
                  <c:v>9431</c:v>
                </c:pt>
                <c:pt idx="17">
                  <c:v>9103</c:v>
                </c:pt>
                <c:pt idx="18">
                  <c:v>8933</c:v>
                </c:pt>
                <c:pt idx="19">
                  <c:v>8442</c:v>
                </c:pt>
                <c:pt idx="20">
                  <c:v>8886</c:v>
                </c:pt>
                <c:pt idx="21">
                  <c:v>9065</c:v>
                </c:pt>
                <c:pt idx="22">
                  <c:v>9248</c:v>
                </c:pt>
                <c:pt idx="23">
                  <c:v>9881</c:v>
                </c:pt>
                <c:pt idx="24">
                  <c:v>9927</c:v>
                </c:pt>
                <c:pt idx="25">
                  <c:v>10344</c:v>
                </c:pt>
                <c:pt idx="26">
                  <c:v>10828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86-4966-982A-7ABE67264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661840"/>
        <c:axId val="622028796"/>
      </c:lineChart>
      <c:catAx>
        <c:axId val="198466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Perioden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622028796"/>
        <c:crosses val="autoZero"/>
        <c:auto val="1"/>
        <c:lblAlgn val="ctr"/>
        <c:lblOffset val="100"/>
        <c:noMultiLvlLbl val="1"/>
      </c:catAx>
      <c:valAx>
        <c:axId val="622028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9846618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overheidsuitgaven_nominaal!$C$1</c:f>
              <c:strCache>
                <c:ptCount val="1"/>
                <c:pt idx="0">
                  <c:v>Totaal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overheidsuitgaven_nominaal!$C$2:$C$28</c:f>
              <c:numCache>
                <c:formatCode>General</c:formatCode>
                <c:ptCount val="27"/>
                <c:pt idx="0">
                  <c:v>177808</c:v>
                </c:pt>
                <c:pt idx="1">
                  <c:v>162719</c:v>
                </c:pt>
                <c:pt idx="2">
                  <c:v>168737</c:v>
                </c:pt>
                <c:pt idx="3">
                  <c:v>175667</c:v>
                </c:pt>
                <c:pt idx="4">
                  <c:v>182890</c:v>
                </c:pt>
                <c:pt idx="5">
                  <c:v>191530</c:v>
                </c:pt>
                <c:pt idx="6">
                  <c:v>207640</c:v>
                </c:pt>
                <c:pt idx="7">
                  <c:v>218881</c:v>
                </c:pt>
                <c:pt idx="8">
                  <c:v>229208</c:v>
                </c:pt>
                <c:pt idx="9">
                  <c:v>231037</c:v>
                </c:pt>
                <c:pt idx="10">
                  <c:v>234593</c:v>
                </c:pt>
                <c:pt idx="11">
                  <c:v>253629</c:v>
                </c:pt>
                <c:pt idx="12">
                  <c:v>264371</c:v>
                </c:pt>
                <c:pt idx="13">
                  <c:v>281277</c:v>
                </c:pt>
                <c:pt idx="14">
                  <c:v>299259</c:v>
                </c:pt>
                <c:pt idx="15">
                  <c:v>307878</c:v>
                </c:pt>
                <c:pt idx="16">
                  <c:v>306631</c:v>
                </c:pt>
                <c:pt idx="17">
                  <c:v>307043</c:v>
                </c:pt>
                <c:pt idx="18">
                  <c:v>309368</c:v>
                </c:pt>
                <c:pt idx="19">
                  <c:v>309489</c:v>
                </c:pt>
                <c:pt idx="20">
                  <c:v>309465</c:v>
                </c:pt>
                <c:pt idx="21">
                  <c:v>309167</c:v>
                </c:pt>
                <c:pt idx="22">
                  <c:v>313410</c:v>
                </c:pt>
                <c:pt idx="23">
                  <c:v>327239</c:v>
                </c:pt>
                <c:pt idx="24">
                  <c:v>342493</c:v>
                </c:pt>
                <c:pt idx="25">
                  <c:v>380991</c:v>
                </c:pt>
                <c:pt idx="26">
                  <c:v>399073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7-45FC-8A28-94ABFD38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5343"/>
        <c:axId val="281284800"/>
      </c:lineChart>
      <c:lineChart>
        <c:grouping val="standard"/>
        <c:varyColors val="0"/>
        <c:ser>
          <c:idx val="1"/>
          <c:order val="1"/>
          <c:tx>
            <c:strRef>
              <c:f>overheidsuitgaven_nominaal!$D$1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overheidsuitgaven_nominaal!$D$2:$D$28</c:f>
              <c:numCache>
                <c:formatCode>General</c:formatCode>
                <c:ptCount val="27"/>
                <c:pt idx="0">
                  <c:v>339283</c:v>
                </c:pt>
                <c:pt idx="1">
                  <c:v>325994</c:v>
                </c:pt>
                <c:pt idx="2">
                  <c:v>339963</c:v>
                </c:pt>
                <c:pt idx="3">
                  <c:v>354123</c:v>
                </c:pt>
                <c:pt idx="4">
                  <c:v>371643</c:v>
                </c:pt>
                <c:pt idx="5">
                  <c:v>393047</c:v>
                </c:pt>
                <c:pt idx="6">
                  <c:v>425223</c:v>
                </c:pt>
                <c:pt idx="7">
                  <c:v>450107</c:v>
                </c:pt>
                <c:pt idx="8">
                  <c:v>471448</c:v>
                </c:pt>
                <c:pt idx="9">
                  <c:v>478252</c:v>
                </c:pt>
                <c:pt idx="10">
                  <c:v>489689</c:v>
                </c:pt>
                <c:pt idx="11">
                  <c:v>539944</c:v>
                </c:pt>
                <c:pt idx="12">
                  <c:v>562699</c:v>
                </c:pt>
                <c:pt idx="13">
                  <c:v>596437</c:v>
                </c:pt>
                <c:pt idx="14">
                  <c:v>623553</c:v>
                </c:pt>
                <c:pt idx="15">
                  <c:v>646452</c:v>
                </c:pt>
                <c:pt idx="16">
                  <c:v>641806</c:v>
                </c:pt>
                <c:pt idx="17">
                  <c:v>643722</c:v>
                </c:pt>
                <c:pt idx="18">
                  <c:v>646970</c:v>
                </c:pt>
                <c:pt idx="19">
                  <c:v>649232</c:v>
                </c:pt>
                <c:pt idx="20">
                  <c:v>650527</c:v>
                </c:pt>
                <c:pt idx="21">
                  <c:v>642270</c:v>
                </c:pt>
                <c:pt idx="22">
                  <c:v>653124</c:v>
                </c:pt>
                <c:pt idx="23">
                  <c:v>686860</c:v>
                </c:pt>
                <c:pt idx="24">
                  <c:v>719794</c:v>
                </c:pt>
                <c:pt idx="25">
                  <c:v>783614</c:v>
                </c:pt>
                <c:pt idx="26">
                  <c:v>827691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7-45FC-8A28-94ABFD38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999"/>
        <c:axId val="33134671"/>
      </c:lineChart>
      <c:catAx>
        <c:axId val="2405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284800"/>
        <c:crosses val="autoZero"/>
        <c:auto val="1"/>
        <c:lblAlgn val="ctr"/>
        <c:lblOffset val="100"/>
        <c:noMultiLvlLbl val="0"/>
      </c:catAx>
      <c:valAx>
        <c:axId val="2812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055343"/>
        <c:crosses val="autoZero"/>
        <c:crossBetween val="between"/>
      </c:valAx>
      <c:valAx>
        <c:axId val="33134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7999"/>
        <c:crosses val="max"/>
        <c:crossBetween val="between"/>
      </c:valAx>
      <c:catAx>
        <c:axId val="4997999"/>
        <c:scaling>
          <c:orientation val="minMax"/>
        </c:scaling>
        <c:delete val="1"/>
        <c:axPos val="b"/>
        <c:majorTickMark val="out"/>
        <c:minorTickMark val="none"/>
        <c:tickLblPos val="nextTo"/>
        <c:crossAx val="33134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overheidsuitgaven_nominaal!$G$1</c:f>
              <c:strCache>
                <c:ptCount val="1"/>
                <c:pt idx="0">
                  <c:v>Totaal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overheidsuitgaven_nominaal!$G$2:$G$28</c:f>
              <c:numCache>
                <c:formatCode>General</c:formatCode>
                <c:ptCount val="27"/>
                <c:pt idx="0">
                  <c:v>161084</c:v>
                </c:pt>
                <c:pt idx="1">
                  <c:v>146379</c:v>
                </c:pt>
                <c:pt idx="2">
                  <c:v>152388</c:v>
                </c:pt>
                <c:pt idx="3">
                  <c:v>159185</c:v>
                </c:pt>
                <c:pt idx="4">
                  <c:v>166593</c:v>
                </c:pt>
                <c:pt idx="5">
                  <c:v>176641</c:v>
                </c:pt>
                <c:pt idx="6">
                  <c:v>193751</c:v>
                </c:pt>
                <c:pt idx="7">
                  <c:v>205997</c:v>
                </c:pt>
                <c:pt idx="8">
                  <c:v>217047</c:v>
                </c:pt>
                <c:pt idx="9">
                  <c:v>218747</c:v>
                </c:pt>
                <c:pt idx="10">
                  <c:v>222640</c:v>
                </c:pt>
                <c:pt idx="11">
                  <c:v>241854</c:v>
                </c:pt>
                <c:pt idx="12">
                  <c:v>252195</c:v>
                </c:pt>
                <c:pt idx="13">
                  <c:v>268061</c:v>
                </c:pt>
                <c:pt idx="14">
                  <c:v>286550</c:v>
                </c:pt>
                <c:pt idx="15">
                  <c:v>296481</c:v>
                </c:pt>
                <c:pt idx="16">
                  <c:v>294982</c:v>
                </c:pt>
                <c:pt idx="17">
                  <c:v>296089</c:v>
                </c:pt>
                <c:pt idx="18">
                  <c:v>299073</c:v>
                </c:pt>
                <c:pt idx="19">
                  <c:v>299632</c:v>
                </c:pt>
                <c:pt idx="20">
                  <c:v>300485</c:v>
                </c:pt>
                <c:pt idx="21">
                  <c:v>301016</c:v>
                </c:pt>
                <c:pt idx="22">
                  <c:v>306014</c:v>
                </c:pt>
                <c:pt idx="23">
                  <c:v>320306</c:v>
                </c:pt>
                <c:pt idx="24">
                  <c:v>336262</c:v>
                </c:pt>
                <c:pt idx="25">
                  <c:v>375559</c:v>
                </c:pt>
                <c:pt idx="26">
                  <c:v>394216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0-45BD-937E-A1601109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905151"/>
        <c:axId val="294743168"/>
      </c:lineChart>
      <c:catAx>
        <c:axId val="92490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4743168"/>
        <c:crosses val="autoZero"/>
        <c:auto val="1"/>
        <c:lblAlgn val="ctr"/>
        <c:lblOffset val="100"/>
        <c:noMultiLvlLbl val="0"/>
      </c:catAx>
      <c:valAx>
        <c:axId val="294743168"/>
        <c:scaling>
          <c:orientation val="minMax"/>
          <c:min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490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reële uitgaven, exclusief rente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overheidsuitgaven_nominaal!$G$1</c:f>
              <c:strCache>
                <c:ptCount val="1"/>
                <c:pt idx="0">
                  <c:v>Totaal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overheidsuitgaven_nominaal!$A$2:$A$28</c15:sqref>
                  </c15:fullRef>
                </c:ext>
              </c:extLst>
              <c:f>overheidsuitgaven_nominaal!$A$3:$A$28</c:f>
              <c:numCache>
                <c:formatCode>General</c:formatCode>
                <c:ptCount val="2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overheidsuitgaven_nominaal!$G$2:$G$28</c15:sqref>
                  </c15:fullRef>
                </c:ext>
              </c:extLst>
              <c:f>overheidsuitgaven_nominaal!$G$3:$G$28</c:f>
              <c:numCache>
                <c:formatCode>General</c:formatCode>
                <c:ptCount val="26"/>
                <c:pt idx="0">
                  <c:v>146379</c:v>
                </c:pt>
                <c:pt idx="1">
                  <c:v>152388</c:v>
                </c:pt>
                <c:pt idx="2">
                  <c:v>159185</c:v>
                </c:pt>
                <c:pt idx="3">
                  <c:v>166593</c:v>
                </c:pt>
                <c:pt idx="4">
                  <c:v>176641</c:v>
                </c:pt>
                <c:pt idx="5">
                  <c:v>193751</c:v>
                </c:pt>
                <c:pt idx="6">
                  <c:v>205997</c:v>
                </c:pt>
                <c:pt idx="7">
                  <c:v>217047</c:v>
                </c:pt>
                <c:pt idx="8">
                  <c:v>218747</c:v>
                </c:pt>
                <c:pt idx="9">
                  <c:v>222640</c:v>
                </c:pt>
                <c:pt idx="10">
                  <c:v>241854</c:v>
                </c:pt>
                <c:pt idx="11">
                  <c:v>252195</c:v>
                </c:pt>
                <c:pt idx="12">
                  <c:v>268061</c:v>
                </c:pt>
                <c:pt idx="13">
                  <c:v>286550</c:v>
                </c:pt>
                <c:pt idx="14">
                  <c:v>296481</c:v>
                </c:pt>
                <c:pt idx="15">
                  <c:v>294982</c:v>
                </c:pt>
                <c:pt idx="16">
                  <c:v>296089</c:v>
                </c:pt>
                <c:pt idx="17">
                  <c:v>299073</c:v>
                </c:pt>
                <c:pt idx="18">
                  <c:v>299632</c:v>
                </c:pt>
                <c:pt idx="19">
                  <c:v>300485</c:v>
                </c:pt>
                <c:pt idx="20">
                  <c:v>301016</c:v>
                </c:pt>
                <c:pt idx="21">
                  <c:v>306014</c:v>
                </c:pt>
                <c:pt idx="22">
                  <c:v>320306</c:v>
                </c:pt>
                <c:pt idx="23">
                  <c:v>336262</c:v>
                </c:pt>
                <c:pt idx="24">
                  <c:v>375559</c:v>
                </c:pt>
                <c:pt idx="25">
                  <c:v>394216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F-49A5-87EB-166E36C3F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066079"/>
        <c:axId val="1711895856"/>
      </c:lineChart>
      <c:catAx>
        <c:axId val="94706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1895856"/>
        <c:crosses val="autoZero"/>
        <c:auto val="1"/>
        <c:lblAlgn val="ctr"/>
        <c:lblOffset val="100"/>
        <c:noMultiLvlLbl val="0"/>
      </c:catAx>
      <c:valAx>
        <c:axId val="1711895856"/>
        <c:scaling>
          <c:orientation val="minMax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Reële uitgaven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70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Defensie en output gap</a:t>
            </a:r>
          </a:p>
        </c:rich>
      </c:tx>
      <c:layout>
        <c:manualLayout>
          <c:xMode val="edge"/>
          <c:yMode val="edge"/>
          <c:x val="3.925E-2"/>
          <c:y val="5.269541778975741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overheidsuitgaven_reeel!$T$1</c:f>
              <c:strCache>
                <c:ptCount val="1"/>
                <c:pt idx="0">
                  <c:v>2. Landsverdediging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Trendlijn voor 2. Landsverdediging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overheidsuitgaven_reeel!$C$2:$C$28</c:f>
              <c:numCache>
                <c:formatCode>0.00%</c:formatCode>
                <c:ptCount val="27"/>
                <c:pt idx="0">
                  <c:v>-1.3000000000000001E-2</c:v>
                </c:pt>
                <c:pt idx="1">
                  <c:v>-1.2E-2</c:v>
                </c:pt>
                <c:pt idx="2">
                  <c:v>-5.0000000000000001E-3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2.7000000000000003E-2</c:v>
                </c:pt>
                <c:pt idx="6">
                  <c:v>1.9E-2</c:v>
                </c:pt>
                <c:pt idx="7">
                  <c:v>-4.0000000000000001E-3</c:v>
                </c:pt>
                <c:pt idx="8">
                  <c:v>-2.3E-2</c:v>
                </c:pt>
                <c:pt idx="9">
                  <c:v>-2.1000000000000001E-2</c:v>
                </c:pt>
                <c:pt idx="10">
                  <c:v>-1.6E-2</c:v>
                </c:pt>
                <c:pt idx="11">
                  <c:v>0</c:v>
                </c:pt>
                <c:pt idx="12">
                  <c:v>1.8000000000000002E-2</c:v>
                </c:pt>
                <c:pt idx="13">
                  <c:v>2.2000000000000002E-2</c:v>
                </c:pt>
                <c:pt idx="14">
                  <c:v>-2.6000000000000002E-2</c:v>
                </c:pt>
                <c:pt idx="15">
                  <c:v>-1.9E-2</c:v>
                </c:pt>
                <c:pt idx="16">
                  <c:v>-1.2E-2</c:v>
                </c:pt>
                <c:pt idx="17">
                  <c:v>-2.6000000000000002E-2</c:v>
                </c:pt>
                <c:pt idx="18">
                  <c:v>-3.1E-2</c:v>
                </c:pt>
                <c:pt idx="19">
                  <c:v>-2.2000000000000002E-2</c:v>
                </c:pt>
                <c:pt idx="20">
                  <c:v>-1.7000000000000001E-2</c:v>
                </c:pt>
                <c:pt idx="21">
                  <c:v>-8.0000000000000002E-3</c:v>
                </c:pt>
                <c:pt idx="22">
                  <c:v>6.0000000000000001E-3</c:v>
                </c:pt>
                <c:pt idx="23">
                  <c:v>1.3000000000000001E-2</c:v>
                </c:pt>
                <c:pt idx="24">
                  <c:v>1.3999999999999999E-2</c:v>
                </c:pt>
                <c:pt idx="25">
                  <c:v>-0.04</c:v>
                </c:pt>
                <c:pt idx="26">
                  <c:v>-0.01</c:v>
                </c:pt>
              </c:numCache>
            </c:numRef>
          </c:xVal>
          <c:yVal>
            <c:numRef>
              <c:f>overheidsuitgaven_reeel!$T$2:$T$28</c:f>
              <c:numCache>
                <c:formatCode>0.00%</c:formatCode>
                <c:ptCount val="27"/>
                <c:pt idx="1">
                  <c:v>5.6529112492942346E-4</c:v>
                </c:pt>
                <c:pt idx="2">
                  <c:v>-3.3059551504217355E-2</c:v>
                </c:pt>
                <c:pt idx="3">
                  <c:v>-1.23707126154875E-2</c:v>
                </c:pt>
                <c:pt idx="4">
                  <c:v>9.1434212168594264E-2</c:v>
                </c:pt>
                <c:pt idx="5">
                  <c:v>-5.0972555625906968E-2</c:v>
                </c:pt>
                <c:pt idx="6">
                  <c:v>4.5311133096815004E-2</c:v>
                </c:pt>
                <c:pt idx="7">
                  <c:v>-3.4233678954674551E-2</c:v>
                </c:pt>
                <c:pt idx="8">
                  <c:v>-4.2241498306150316E-3</c:v>
                </c:pt>
                <c:pt idx="9">
                  <c:v>-7.1426130344142136E-3</c:v>
                </c:pt>
                <c:pt idx="10">
                  <c:v>-8.8894809035882316E-2</c:v>
                </c:pt>
                <c:pt idx="11">
                  <c:v>9.0057483500106672E-2</c:v>
                </c:pt>
                <c:pt idx="12">
                  <c:v>4.5603660608119601E-2</c:v>
                </c:pt>
                <c:pt idx="13">
                  <c:v>4.1804007730426029E-3</c:v>
                </c:pt>
                <c:pt idx="14">
                  <c:v>4.5377651102972205E-2</c:v>
                </c:pt>
                <c:pt idx="15">
                  <c:v>-5.7616772426743457E-2</c:v>
                </c:pt>
                <c:pt idx="16">
                  <c:v>-2.3693847344635088E-2</c:v>
                </c:pt>
                <c:pt idx="17">
                  <c:v>-9.7033340790609657E-2</c:v>
                </c:pt>
                <c:pt idx="18">
                  <c:v>-9.1354201401842028E-3</c:v>
                </c:pt>
                <c:pt idx="19">
                  <c:v>-3.4448513503809841E-2</c:v>
                </c:pt>
                <c:pt idx="20">
                  <c:v>5.2367143426664819E-2</c:v>
                </c:pt>
                <c:pt idx="21">
                  <c:v>3.671859357061158E-2</c:v>
                </c:pt>
                <c:pt idx="22">
                  <c:v>4.9683716798261557E-2</c:v>
                </c:pt>
                <c:pt idx="23">
                  <c:v>4.8964710903522279E-2</c:v>
                </c:pt>
                <c:pt idx="24">
                  <c:v>8.4694697491665139E-2</c:v>
                </c:pt>
                <c:pt idx="25">
                  <c:v>5.9090909090909083E-2</c:v>
                </c:pt>
                <c:pt idx="26">
                  <c:v>1.3294253114205068E-2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E-4CE8-9B87-F5F926B3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276177"/>
        <c:axId val="1952233118"/>
      </c:scatterChart>
      <c:valAx>
        <c:axId val="17942761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952233118"/>
        <c:crosses val="autoZero"/>
        <c:crossBetween val="midCat"/>
      </c:valAx>
      <c:valAx>
        <c:axId val="1952233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79427617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Veiligheid en output gap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overheidsuitgaven_reeel!$U$1</c:f>
              <c:strCache>
                <c:ptCount val="1"/>
                <c:pt idx="0">
                  <c:v>3. Openbare orde en veiligheid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overheidsuitgaven_reeel!$A$2:$A$28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overheidsuitgaven_reeel!$U$2:$U$28</c:f>
              <c:numCache>
                <c:formatCode>0.00%</c:formatCode>
                <c:ptCount val="27"/>
                <c:pt idx="1">
                  <c:v>4.0592660480391007E-2</c:v>
                </c:pt>
                <c:pt idx="2">
                  <c:v>3.0960804301333411E-2</c:v>
                </c:pt>
                <c:pt idx="3">
                  <c:v>6.0681100622492545E-2</c:v>
                </c:pt>
                <c:pt idx="4">
                  <c:v>5.8391245307133355E-2</c:v>
                </c:pt>
                <c:pt idx="5">
                  <c:v>9.6596205894760256E-2</c:v>
                </c:pt>
                <c:pt idx="6">
                  <c:v>8.921495989434014E-2</c:v>
                </c:pt>
                <c:pt idx="7">
                  <c:v>6.7098630712112417E-2</c:v>
                </c:pt>
                <c:pt idx="8">
                  <c:v>5.4160257488947483E-2</c:v>
                </c:pt>
                <c:pt idx="9">
                  <c:v>2.2544895870329595E-2</c:v>
                </c:pt>
                <c:pt idx="10">
                  <c:v>1.1215473119364994E-2</c:v>
                </c:pt>
                <c:pt idx="11">
                  <c:v>7.1014906963101199E-2</c:v>
                </c:pt>
                <c:pt idx="12">
                  <c:v>7.2444903357808288E-2</c:v>
                </c:pt>
                <c:pt idx="13">
                  <c:v>3.2804201846614367E-2</c:v>
                </c:pt>
                <c:pt idx="14">
                  <c:v>4.9482327238966617E-2</c:v>
                </c:pt>
                <c:pt idx="15">
                  <c:v>-2.1195950507320482E-2</c:v>
                </c:pt>
                <c:pt idx="16">
                  <c:v>-2.7272884710149659E-2</c:v>
                </c:pt>
                <c:pt idx="17">
                  <c:v>-5.3499002139815177E-3</c:v>
                </c:pt>
                <c:pt idx="18">
                  <c:v>2.0127457720130026E-2</c:v>
                </c:pt>
                <c:pt idx="19">
                  <c:v>-3.815846438948034E-2</c:v>
                </c:pt>
                <c:pt idx="20">
                  <c:v>3.3246264691842109E-2</c:v>
                </c:pt>
                <c:pt idx="21">
                  <c:v>2.0805580189592554E-2</c:v>
                </c:pt>
                <c:pt idx="22">
                  <c:v>-2.0533607376941765E-2</c:v>
                </c:pt>
                <c:pt idx="23">
                  <c:v>5.7273640727922182E-2</c:v>
                </c:pt>
                <c:pt idx="24">
                  <c:v>4.0168289417888303E-2</c:v>
                </c:pt>
                <c:pt idx="25">
                  <c:v>5.6532902795023654E-2</c:v>
                </c:pt>
                <c:pt idx="26">
                  <c:v>1.7306117239105356E-2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AB8-9FD7-C679916E3846}"/>
            </c:ext>
          </c:extLst>
        </c:ser>
        <c:ser>
          <c:idx val="1"/>
          <c:order val="1"/>
          <c:tx>
            <c:strRef>
              <c:f>overheidsuitgaven_reeel!$C$1</c:f>
              <c:strCache>
                <c:ptCount val="1"/>
                <c:pt idx="0">
                  <c:v>Output gap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overheidsuitgaven_reeel!$A$2:$A$28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overheidsuitgaven_reeel!$C$2:$C$28</c:f>
              <c:numCache>
                <c:formatCode>0.00%</c:formatCode>
                <c:ptCount val="27"/>
                <c:pt idx="0">
                  <c:v>-1.3000000000000001E-2</c:v>
                </c:pt>
                <c:pt idx="1">
                  <c:v>-1.2E-2</c:v>
                </c:pt>
                <c:pt idx="2">
                  <c:v>-5.0000000000000001E-3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2.7000000000000003E-2</c:v>
                </c:pt>
                <c:pt idx="6">
                  <c:v>1.9E-2</c:v>
                </c:pt>
                <c:pt idx="7">
                  <c:v>-4.0000000000000001E-3</c:v>
                </c:pt>
                <c:pt idx="8">
                  <c:v>-2.3E-2</c:v>
                </c:pt>
                <c:pt idx="9">
                  <c:v>-2.1000000000000001E-2</c:v>
                </c:pt>
                <c:pt idx="10">
                  <c:v>-1.6E-2</c:v>
                </c:pt>
                <c:pt idx="11">
                  <c:v>0</c:v>
                </c:pt>
                <c:pt idx="12">
                  <c:v>1.8000000000000002E-2</c:v>
                </c:pt>
                <c:pt idx="13">
                  <c:v>2.2000000000000002E-2</c:v>
                </c:pt>
                <c:pt idx="14">
                  <c:v>-2.6000000000000002E-2</c:v>
                </c:pt>
                <c:pt idx="15">
                  <c:v>-1.9E-2</c:v>
                </c:pt>
                <c:pt idx="16">
                  <c:v>-1.2E-2</c:v>
                </c:pt>
                <c:pt idx="17">
                  <c:v>-2.6000000000000002E-2</c:v>
                </c:pt>
                <c:pt idx="18">
                  <c:v>-3.1E-2</c:v>
                </c:pt>
                <c:pt idx="19">
                  <c:v>-2.2000000000000002E-2</c:v>
                </c:pt>
                <c:pt idx="20">
                  <c:v>-1.7000000000000001E-2</c:v>
                </c:pt>
                <c:pt idx="21">
                  <c:v>-8.0000000000000002E-3</c:v>
                </c:pt>
                <c:pt idx="22">
                  <c:v>6.0000000000000001E-3</c:v>
                </c:pt>
                <c:pt idx="23">
                  <c:v>1.3000000000000001E-2</c:v>
                </c:pt>
                <c:pt idx="24">
                  <c:v>1.3999999999999999E-2</c:v>
                </c:pt>
                <c:pt idx="25">
                  <c:v>-0.04</c:v>
                </c:pt>
                <c:pt idx="26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0-4AB8-9FD7-C679916E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578791"/>
        <c:axId val="668348129"/>
      </c:lineChart>
      <c:catAx>
        <c:axId val="1336578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668348129"/>
        <c:crosses val="autoZero"/>
        <c:auto val="1"/>
        <c:lblAlgn val="ctr"/>
        <c:lblOffset val="100"/>
        <c:noMultiLvlLbl val="1"/>
      </c:catAx>
      <c:valAx>
        <c:axId val="668348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3365787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Onderwijs en output gap</a:t>
            </a:r>
          </a:p>
        </c:rich>
      </c:tx>
      <c:layout>
        <c:manualLayout>
          <c:xMode val="edge"/>
          <c:yMode val="edge"/>
          <c:x val="3.925E-2"/>
          <c:y val="5.269541778975741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overheidsuitgaven_reeel!$AA$1</c:f>
              <c:strCache>
                <c:ptCount val="1"/>
                <c:pt idx="0">
                  <c:v>9. Onderwijs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Trendlijn voor 9. Onderwijs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overheidsuitgaven_reeel!$C$2:$C$28</c:f>
              <c:numCache>
                <c:formatCode>0.00%</c:formatCode>
                <c:ptCount val="27"/>
                <c:pt idx="0">
                  <c:v>-1.3000000000000001E-2</c:v>
                </c:pt>
                <c:pt idx="1">
                  <c:v>-1.2E-2</c:v>
                </c:pt>
                <c:pt idx="2">
                  <c:v>-5.0000000000000001E-3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2.7000000000000003E-2</c:v>
                </c:pt>
                <c:pt idx="6">
                  <c:v>1.9E-2</c:v>
                </c:pt>
                <c:pt idx="7">
                  <c:v>-4.0000000000000001E-3</c:v>
                </c:pt>
                <c:pt idx="8">
                  <c:v>-2.3E-2</c:v>
                </c:pt>
                <c:pt idx="9">
                  <c:v>-2.1000000000000001E-2</c:v>
                </c:pt>
                <c:pt idx="10">
                  <c:v>-1.6E-2</c:v>
                </c:pt>
                <c:pt idx="11">
                  <c:v>0</c:v>
                </c:pt>
                <c:pt idx="12">
                  <c:v>1.8000000000000002E-2</c:v>
                </c:pt>
                <c:pt idx="13">
                  <c:v>2.2000000000000002E-2</c:v>
                </c:pt>
                <c:pt idx="14">
                  <c:v>-2.6000000000000002E-2</c:v>
                </c:pt>
                <c:pt idx="15">
                  <c:v>-1.9E-2</c:v>
                </c:pt>
                <c:pt idx="16">
                  <c:v>-1.2E-2</c:v>
                </c:pt>
                <c:pt idx="17">
                  <c:v>-2.6000000000000002E-2</c:v>
                </c:pt>
                <c:pt idx="18">
                  <c:v>-3.1E-2</c:v>
                </c:pt>
                <c:pt idx="19">
                  <c:v>-2.2000000000000002E-2</c:v>
                </c:pt>
                <c:pt idx="20">
                  <c:v>-1.7000000000000001E-2</c:v>
                </c:pt>
                <c:pt idx="21">
                  <c:v>-8.0000000000000002E-3</c:v>
                </c:pt>
                <c:pt idx="22">
                  <c:v>6.0000000000000001E-3</c:v>
                </c:pt>
                <c:pt idx="23">
                  <c:v>1.3000000000000001E-2</c:v>
                </c:pt>
                <c:pt idx="24">
                  <c:v>1.3999999999999999E-2</c:v>
                </c:pt>
                <c:pt idx="25">
                  <c:v>-0.04</c:v>
                </c:pt>
                <c:pt idx="26">
                  <c:v>-0.01</c:v>
                </c:pt>
              </c:numCache>
            </c:numRef>
          </c:xVal>
          <c:yVal>
            <c:numRef>
              <c:f>overheidsuitgaven_reeel!$AA$2:$AA$28</c:f>
              <c:numCache>
                <c:formatCode>0.00%</c:formatCode>
                <c:ptCount val="27"/>
                <c:pt idx="1">
                  <c:v>1.4186784158941146E-2</c:v>
                </c:pt>
                <c:pt idx="2">
                  <c:v>1.8082212772478234E-2</c:v>
                </c:pt>
                <c:pt idx="3">
                  <c:v>2.4528671376919498E-2</c:v>
                </c:pt>
                <c:pt idx="4">
                  <c:v>5.2582490460514331E-2</c:v>
                </c:pt>
                <c:pt idx="5">
                  <c:v>1.8911589406931384E-2</c:v>
                </c:pt>
                <c:pt idx="6">
                  <c:v>2.2874456577824942E-2</c:v>
                </c:pt>
                <c:pt idx="7">
                  <c:v>4.8341637451372321E-2</c:v>
                </c:pt>
                <c:pt idx="8">
                  <c:v>6.2638568973005349E-2</c:v>
                </c:pt>
                <c:pt idx="9">
                  <c:v>2.8093464408859958E-2</c:v>
                </c:pt>
                <c:pt idx="10">
                  <c:v>3.6628184662927943E-2</c:v>
                </c:pt>
                <c:pt idx="11">
                  <c:v>5.1429180551467502E-2</c:v>
                </c:pt>
                <c:pt idx="12">
                  <c:v>3.2277522482058174E-2</c:v>
                </c:pt>
                <c:pt idx="13">
                  <c:v>4.2012423611218264E-2</c:v>
                </c:pt>
                <c:pt idx="14">
                  <c:v>3.066735331044157E-2</c:v>
                </c:pt>
                <c:pt idx="15">
                  <c:v>1.0836994131163458E-2</c:v>
                </c:pt>
                <c:pt idx="16">
                  <c:v>-2.7257222251857005E-2</c:v>
                </c:pt>
                <c:pt idx="17">
                  <c:v>-1.444234799491273E-2</c:v>
                </c:pt>
                <c:pt idx="18">
                  <c:v>-2.0256299615309059E-2</c:v>
                </c:pt>
                <c:pt idx="19">
                  <c:v>1.4656858669054751E-2</c:v>
                </c:pt>
                <c:pt idx="20">
                  <c:v>-3.0946336517901907E-3</c:v>
                </c:pt>
                <c:pt idx="21">
                  <c:v>1.8786773717503591E-2</c:v>
                </c:pt>
                <c:pt idx="22">
                  <c:v>-1.4588420890769838E-3</c:v>
                </c:pt>
                <c:pt idx="23">
                  <c:v>1.9860305873663719E-2</c:v>
                </c:pt>
                <c:pt idx="24">
                  <c:v>1.9484658162939095E-2</c:v>
                </c:pt>
                <c:pt idx="25">
                  <c:v>1.6466161946038005E-2</c:v>
                </c:pt>
                <c:pt idx="26">
                  <c:v>2.8951168627295187E-2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F-4EF3-AE8C-27841CCF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19800"/>
        <c:axId val="1642124067"/>
      </c:scatterChart>
      <c:valAx>
        <c:axId val="1345419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642124067"/>
        <c:crosses val="autoZero"/>
        <c:crossBetween val="midCat"/>
      </c:valAx>
      <c:valAx>
        <c:axId val="1642124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34541980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Milieubescherming en output gap</a:t>
            </a:r>
          </a:p>
        </c:rich>
      </c:tx>
      <c:layout>
        <c:manualLayout>
          <c:xMode val="edge"/>
          <c:yMode val="edge"/>
          <c:x val="3.925E-2"/>
          <c:y val="5.269541778975741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overheidsuitgaven_reeel!$W$1</c:f>
              <c:strCache>
                <c:ptCount val="1"/>
                <c:pt idx="0">
                  <c:v>5. Milieubescherming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Trendlijn voor 9. Onderwijs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overheidsuitgaven_reeel!$C$2:$C$28</c:f>
              <c:numCache>
                <c:formatCode>0.00%</c:formatCode>
                <c:ptCount val="27"/>
                <c:pt idx="0">
                  <c:v>-1.3000000000000001E-2</c:v>
                </c:pt>
                <c:pt idx="1">
                  <c:v>-1.2E-2</c:v>
                </c:pt>
                <c:pt idx="2">
                  <c:v>-5.0000000000000001E-3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2.7000000000000003E-2</c:v>
                </c:pt>
                <c:pt idx="6">
                  <c:v>1.9E-2</c:v>
                </c:pt>
                <c:pt idx="7">
                  <c:v>-4.0000000000000001E-3</c:v>
                </c:pt>
                <c:pt idx="8">
                  <c:v>-2.3E-2</c:v>
                </c:pt>
                <c:pt idx="9">
                  <c:v>-2.1000000000000001E-2</c:v>
                </c:pt>
                <c:pt idx="10">
                  <c:v>-1.6E-2</c:v>
                </c:pt>
                <c:pt idx="11">
                  <c:v>0</c:v>
                </c:pt>
                <c:pt idx="12">
                  <c:v>1.8000000000000002E-2</c:v>
                </c:pt>
                <c:pt idx="13">
                  <c:v>2.2000000000000002E-2</c:v>
                </c:pt>
                <c:pt idx="14">
                  <c:v>-2.6000000000000002E-2</c:v>
                </c:pt>
                <c:pt idx="15">
                  <c:v>-1.9E-2</c:v>
                </c:pt>
                <c:pt idx="16">
                  <c:v>-1.2E-2</c:v>
                </c:pt>
                <c:pt idx="17">
                  <c:v>-2.6000000000000002E-2</c:v>
                </c:pt>
                <c:pt idx="18">
                  <c:v>-3.1E-2</c:v>
                </c:pt>
                <c:pt idx="19">
                  <c:v>-2.2000000000000002E-2</c:v>
                </c:pt>
                <c:pt idx="20">
                  <c:v>-1.7000000000000001E-2</c:v>
                </c:pt>
                <c:pt idx="21">
                  <c:v>-8.0000000000000002E-3</c:v>
                </c:pt>
                <c:pt idx="22">
                  <c:v>6.0000000000000001E-3</c:v>
                </c:pt>
                <c:pt idx="23">
                  <c:v>1.3000000000000001E-2</c:v>
                </c:pt>
                <c:pt idx="24">
                  <c:v>1.3999999999999999E-2</c:v>
                </c:pt>
                <c:pt idx="25">
                  <c:v>-0.04</c:v>
                </c:pt>
                <c:pt idx="26">
                  <c:v>-0.01</c:v>
                </c:pt>
              </c:numCache>
            </c:numRef>
          </c:xVal>
          <c:yVal>
            <c:numRef>
              <c:f>overheidsuitgaven_reeel!$W$2:$W$28</c:f>
              <c:numCache>
                <c:formatCode>0.00%</c:formatCode>
                <c:ptCount val="27"/>
                <c:pt idx="1">
                  <c:v>1.3967224580557769E-2</c:v>
                </c:pt>
                <c:pt idx="2">
                  <c:v>2.1640147572210555E-2</c:v>
                </c:pt>
                <c:pt idx="3">
                  <c:v>7.6490341716382027E-3</c:v>
                </c:pt>
                <c:pt idx="4">
                  <c:v>3.0669354819937933E-2</c:v>
                </c:pt>
                <c:pt idx="5">
                  <c:v>6.9707285027033938E-2</c:v>
                </c:pt>
                <c:pt idx="6">
                  <c:v>9.6892567012087927E-3</c:v>
                </c:pt>
                <c:pt idx="7">
                  <c:v>7.3393191238339428E-2</c:v>
                </c:pt>
                <c:pt idx="8">
                  <c:v>4.3717910788061864E-2</c:v>
                </c:pt>
                <c:pt idx="9">
                  <c:v>1.275423672606224E-2</c:v>
                </c:pt>
                <c:pt idx="10">
                  <c:v>2.1089382027823511E-3</c:v>
                </c:pt>
                <c:pt idx="11">
                  <c:v>4.5316908814553525E-2</c:v>
                </c:pt>
                <c:pt idx="12">
                  <c:v>3.352628460071494E-2</c:v>
                </c:pt>
                <c:pt idx="13">
                  <c:v>3.1591007553601669E-2</c:v>
                </c:pt>
                <c:pt idx="14">
                  <c:v>5.6983811059429623E-2</c:v>
                </c:pt>
                <c:pt idx="15">
                  <c:v>-5.1722208911464396E-2</c:v>
                </c:pt>
                <c:pt idx="16">
                  <c:v>-3.0724539741983192E-2</c:v>
                </c:pt>
                <c:pt idx="17">
                  <c:v>-4.2381699238049797E-2</c:v>
                </c:pt>
                <c:pt idx="18">
                  <c:v>-8.824667262597119E-3</c:v>
                </c:pt>
                <c:pt idx="19">
                  <c:v>-6.2735443719611705E-2</c:v>
                </c:pt>
                <c:pt idx="20">
                  <c:v>-2.9853348593365303E-2</c:v>
                </c:pt>
                <c:pt idx="21">
                  <c:v>5.1245405414657386E-2</c:v>
                </c:pt>
                <c:pt idx="22">
                  <c:v>8.451938456399688E-4</c:v>
                </c:pt>
                <c:pt idx="23">
                  <c:v>5.3040447868020868E-2</c:v>
                </c:pt>
                <c:pt idx="24">
                  <c:v>2.6490972129282087E-2</c:v>
                </c:pt>
                <c:pt idx="25">
                  <c:v>5.3271065955161401E-2</c:v>
                </c:pt>
                <c:pt idx="26">
                  <c:v>-1.6148904519962537E-2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5-448A-9CE3-914C1828E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82213"/>
        <c:axId val="1548567646"/>
      </c:scatterChart>
      <c:valAx>
        <c:axId val="20690822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548567646"/>
        <c:crosses val="autoZero"/>
        <c:crossBetween val="midCat"/>
      </c:valAx>
      <c:valAx>
        <c:axId val="1548567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0690822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Procentuele mutaties in uitgaven Openbare orde vs. Output gap</a:t>
            </a:r>
          </a:p>
        </c:rich>
      </c:tx>
      <c:layout>
        <c:manualLayout>
          <c:xMode val="edge"/>
          <c:yMode val="edge"/>
          <c:x val="3.925E-2"/>
          <c:y val="5.269541778975741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overheidsuitgaven_reeel!$U$1</c:f>
              <c:strCache>
                <c:ptCount val="1"/>
                <c:pt idx="0">
                  <c:v>3. Openbare orde en veiligheid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Trendlijn voor 3. Openbare Orde en veiligheid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overheidsuitgaven_reeel!$C$2:$C$28</c:f>
              <c:numCache>
                <c:formatCode>0.00%</c:formatCode>
                <c:ptCount val="27"/>
                <c:pt idx="0">
                  <c:v>-1.3000000000000001E-2</c:v>
                </c:pt>
                <c:pt idx="1">
                  <c:v>-1.2E-2</c:v>
                </c:pt>
                <c:pt idx="2">
                  <c:v>-5.0000000000000001E-3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2.7000000000000003E-2</c:v>
                </c:pt>
                <c:pt idx="6">
                  <c:v>1.9E-2</c:v>
                </c:pt>
                <c:pt idx="7">
                  <c:v>-4.0000000000000001E-3</c:v>
                </c:pt>
                <c:pt idx="8">
                  <c:v>-2.3E-2</c:v>
                </c:pt>
                <c:pt idx="9">
                  <c:v>-2.1000000000000001E-2</c:v>
                </c:pt>
                <c:pt idx="10">
                  <c:v>-1.6E-2</c:v>
                </c:pt>
                <c:pt idx="11">
                  <c:v>0</c:v>
                </c:pt>
                <c:pt idx="12">
                  <c:v>1.8000000000000002E-2</c:v>
                </c:pt>
                <c:pt idx="13">
                  <c:v>2.2000000000000002E-2</c:v>
                </c:pt>
                <c:pt idx="14">
                  <c:v>-2.6000000000000002E-2</c:v>
                </c:pt>
                <c:pt idx="15">
                  <c:v>-1.9E-2</c:v>
                </c:pt>
                <c:pt idx="16">
                  <c:v>-1.2E-2</c:v>
                </c:pt>
                <c:pt idx="17">
                  <c:v>-2.6000000000000002E-2</c:v>
                </c:pt>
                <c:pt idx="18">
                  <c:v>-3.1E-2</c:v>
                </c:pt>
                <c:pt idx="19">
                  <c:v>-2.2000000000000002E-2</c:v>
                </c:pt>
                <c:pt idx="20">
                  <c:v>-1.7000000000000001E-2</c:v>
                </c:pt>
                <c:pt idx="21">
                  <c:v>-8.0000000000000002E-3</c:v>
                </c:pt>
                <c:pt idx="22">
                  <c:v>6.0000000000000001E-3</c:v>
                </c:pt>
                <c:pt idx="23">
                  <c:v>1.3000000000000001E-2</c:v>
                </c:pt>
                <c:pt idx="24">
                  <c:v>1.3999999999999999E-2</c:v>
                </c:pt>
                <c:pt idx="25">
                  <c:v>-0.04</c:v>
                </c:pt>
                <c:pt idx="26">
                  <c:v>-0.01</c:v>
                </c:pt>
              </c:numCache>
            </c:numRef>
          </c:xVal>
          <c:yVal>
            <c:numRef>
              <c:f>overheidsuitgaven_reeel!$U$2:$U$28</c:f>
              <c:numCache>
                <c:formatCode>0.00%</c:formatCode>
                <c:ptCount val="27"/>
                <c:pt idx="1">
                  <c:v>4.0592660480391007E-2</c:v>
                </c:pt>
                <c:pt idx="2">
                  <c:v>3.0960804301333411E-2</c:v>
                </c:pt>
                <c:pt idx="3">
                  <c:v>6.0681100622492545E-2</c:v>
                </c:pt>
                <c:pt idx="4">
                  <c:v>5.8391245307133355E-2</c:v>
                </c:pt>
                <c:pt idx="5">
                  <c:v>9.6596205894760256E-2</c:v>
                </c:pt>
                <c:pt idx="6">
                  <c:v>8.921495989434014E-2</c:v>
                </c:pt>
                <c:pt idx="7">
                  <c:v>6.7098630712112417E-2</c:v>
                </c:pt>
                <c:pt idx="8">
                  <c:v>5.4160257488947483E-2</c:v>
                </c:pt>
                <c:pt idx="9">
                  <c:v>2.2544895870329595E-2</c:v>
                </c:pt>
                <c:pt idx="10">
                  <c:v>1.1215473119364994E-2</c:v>
                </c:pt>
                <c:pt idx="11">
                  <c:v>7.1014906963101199E-2</c:v>
                </c:pt>
                <c:pt idx="12">
                  <c:v>7.2444903357808288E-2</c:v>
                </c:pt>
                <c:pt idx="13">
                  <c:v>3.2804201846614367E-2</c:v>
                </c:pt>
                <c:pt idx="14">
                  <c:v>4.9482327238966617E-2</c:v>
                </c:pt>
                <c:pt idx="15">
                  <c:v>-2.1195950507320482E-2</c:v>
                </c:pt>
                <c:pt idx="16">
                  <c:v>-2.7272884710149659E-2</c:v>
                </c:pt>
                <c:pt idx="17">
                  <c:v>-5.3499002139815177E-3</c:v>
                </c:pt>
                <c:pt idx="18">
                  <c:v>2.0127457720130026E-2</c:v>
                </c:pt>
                <c:pt idx="19">
                  <c:v>-3.815846438948034E-2</c:v>
                </c:pt>
                <c:pt idx="20">
                  <c:v>3.3246264691842109E-2</c:v>
                </c:pt>
                <c:pt idx="21">
                  <c:v>2.0805580189592554E-2</c:v>
                </c:pt>
                <c:pt idx="22">
                  <c:v>-2.0533607376941765E-2</c:v>
                </c:pt>
                <c:pt idx="23">
                  <c:v>5.7273640727922182E-2</c:v>
                </c:pt>
                <c:pt idx="24">
                  <c:v>4.0168289417888303E-2</c:v>
                </c:pt>
                <c:pt idx="25">
                  <c:v>5.6532902795023654E-2</c:v>
                </c:pt>
                <c:pt idx="26">
                  <c:v>1.7306117239105356E-2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9-4AC5-9E10-7BD81AF5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79680"/>
        <c:axId val="662749119"/>
      </c:scatterChart>
      <c:valAx>
        <c:axId val="13996796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662749119"/>
        <c:crosses val="autoZero"/>
        <c:crossBetween val="midCat"/>
      </c:valAx>
      <c:valAx>
        <c:axId val="662749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39967968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Mutaties in uitgaven Recreatie, cultuur, religie en Output gap</a:t>
            </a:r>
          </a:p>
        </c:rich>
      </c:tx>
      <c:layout>
        <c:manualLayout>
          <c:xMode val="edge"/>
          <c:yMode val="edge"/>
          <c:x val="3.925E-2"/>
          <c:y val="5.269541778975741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overheidsuitgaven_reeel!$Z$1</c:f>
              <c:strCache>
                <c:ptCount val="1"/>
                <c:pt idx="0">
                  <c:v>8. Recreatie, cultuur en religie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Trendlijn voor 8. Recreatie, cultuur, religie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overheidsuitgaven_reeel!$C$2:$C$28</c:f>
              <c:numCache>
                <c:formatCode>0.00%</c:formatCode>
                <c:ptCount val="27"/>
                <c:pt idx="0">
                  <c:v>-1.3000000000000001E-2</c:v>
                </c:pt>
                <c:pt idx="1">
                  <c:v>-1.2E-2</c:v>
                </c:pt>
                <c:pt idx="2">
                  <c:v>-5.0000000000000001E-3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2.7000000000000003E-2</c:v>
                </c:pt>
                <c:pt idx="6">
                  <c:v>1.9E-2</c:v>
                </c:pt>
                <c:pt idx="7">
                  <c:v>-4.0000000000000001E-3</c:v>
                </c:pt>
                <c:pt idx="8">
                  <c:v>-2.3E-2</c:v>
                </c:pt>
                <c:pt idx="9">
                  <c:v>-2.1000000000000001E-2</c:v>
                </c:pt>
                <c:pt idx="10">
                  <c:v>-1.6E-2</c:v>
                </c:pt>
                <c:pt idx="11">
                  <c:v>0</c:v>
                </c:pt>
                <c:pt idx="12">
                  <c:v>1.8000000000000002E-2</c:v>
                </c:pt>
                <c:pt idx="13">
                  <c:v>2.2000000000000002E-2</c:v>
                </c:pt>
                <c:pt idx="14">
                  <c:v>-2.6000000000000002E-2</c:v>
                </c:pt>
                <c:pt idx="15">
                  <c:v>-1.9E-2</c:v>
                </c:pt>
                <c:pt idx="16">
                  <c:v>-1.2E-2</c:v>
                </c:pt>
                <c:pt idx="17">
                  <c:v>-2.6000000000000002E-2</c:v>
                </c:pt>
                <c:pt idx="18">
                  <c:v>-3.1E-2</c:v>
                </c:pt>
                <c:pt idx="19">
                  <c:v>-2.2000000000000002E-2</c:v>
                </c:pt>
                <c:pt idx="20">
                  <c:v>-1.7000000000000001E-2</c:v>
                </c:pt>
                <c:pt idx="21">
                  <c:v>-8.0000000000000002E-3</c:v>
                </c:pt>
                <c:pt idx="22">
                  <c:v>6.0000000000000001E-3</c:v>
                </c:pt>
                <c:pt idx="23">
                  <c:v>1.3000000000000001E-2</c:v>
                </c:pt>
                <c:pt idx="24">
                  <c:v>1.3999999999999999E-2</c:v>
                </c:pt>
                <c:pt idx="25">
                  <c:v>-0.04</c:v>
                </c:pt>
                <c:pt idx="26">
                  <c:v>-0.01</c:v>
                </c:pt>
              </c:numCache>
            </c:numRef>
          </c:xVal>
          <c:yVal>
            <c:numRef>
              <c:f>overheidsuitgaven_reeel!$Z$2:$Z$28</c:f>
              <c:numCache>
                <c:formatCode>0.00%</c:formatCode>
                <c:ptCount val="27"/>
                <c:pt idx="1">
                  <c:v>9.1739755808737389E-3</c:v>
                </c:pt>
                <c:pt idx="2">
                  <c:v>7.0144696289753616E-2</c:v>
                </c:pt>
                <c:pt idx="3">
                  <c:v>5.5279681840920913E-2</c:v>
                </c:pt>
                <c:pt idx="4">
                  <c:v>7.6388190100521891E-2</c:v>
                </c:pt>
                <c:pt idx="5">
                  <c:v>7.826125521806393E-2</c:v>
                </c:pt>
                <c:pt idx="6">
                  <c:v>0.14523263623520677</c:v>
                </c:pt>
                <c:pt idx="7">
                  <c:v>3.4731032794841132E-2</c:v>
                </c:pt>
                <c:pt idx="8">
                  <c:v>2.6851771253699752E-3</c:v>
                </c:pt>
                <c:pt idx="9">
                  <c:v>-4.7291082163277709E-3</c:v>
                </c:pt>
                <c:pt idx="10">
                  <c:v>5.5278729367798096E-3</c:v>
                </c:pt>
                <c:pt idx="11">
                  <c:v>4.2944044265683212E-2</c:v>
                </c:pt>
                <c:pt idx="12">
                  <c:v>-1.5859270517994961E-2</c:v>
                </c:pt>
                <c:pt idx="13">
                  <c:v>0.10254412684189229</c:v>
                </c:pt>
                <c:pt idx="14">
                  <c:v>4.8078395920523542E-2</c:v>
                </c:pt>
                <c:pt idx="15">
                  <c:v>-1.6958479259890358E-2</c:v>
                </c:pt>
                <c:pt idx="16">
                  <c:v>-4.9053550657182421E-2</c:v>
                </c:pt>
                <c:pt idx="17">
                  <c:v>-5.4631655809071811E-2</c:v>
                </c:pt>
                <c:pt idx="18">
                  <c:v>-3.1268669333162746E-2</c:v>
                </c:pt>
                <c:pt idx="19">
                  <c:v>-6.0601130705969064E-2</c:v>
                </c:pt>
                <c:pt idx="20">
                  <c:v>4.7357385071798097E-2</c:v>
                </c:pt>
                <c:pt idx="21">
                  <c:v>1.7092768509685996E-2</c:v>
                </c:pt>
                <c:pt idx="22">
                  <c:v>6.1021050032037394E-3</c:v>
                </c:pt>
                <c:pt idx="23">
                  <c:v>5.369549490523684E-2</c:v>
                </c:pt>
                <c:pt idx="24">
                  <c:v>-1.1165945619007855E-2</c:v>
                </c:pt>
                <c:pt idx="25">
                  <c:v>2.9650838472628838E-2</c:v>
                </c:pt>
                <c:pt idx="26">
                  <c:v>2.1258936487276614E-2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42-49BC-B189-FBEDF570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36836"/>
        <c:axId val="1498933548"/>
      </c:scatterChart>
      <c:valAx>
        <c:axId val="12521368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498933548"/>
        <c:crosses val="autoZero"/>
        <c:crossBetween val="midCat"/>
      </c:valAx>
      <c:valAx>
        <c:axId val="149893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25213683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Doelsaldo houdbaarheid veranderde sterk over tijd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Struc Primair Saldo na Houdbaarheidssaldo</c:v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Advies'!$K$2:$K$10</c:f>
              <c:numCache>
                <c:formatCode>0.00%</c:formatCode>
                <c:ptCount val="9"/>
                <c:pt idx="0">
                  <c:v>5.1827640361209598E-3</c:v>
                </c:pt>
                <c:pt idx="1">
                  <c:v>4.1025589471758994E-3</c:v>
                </c:pt>
                <c:pt idx="2">
                  <c:v>8.7572766811640224E-3</c:v>
                </c:pt>
                <c:pt idx="3">
                  <c:v>5.0417185554172683E-3</c:v>
                </c:pt>
                <c:pt idx="4">
                  <c:v>5.7165008168720589E-3</c:v>
                </c:pt>
                <c:pt idx="5">
                  <c:v>2.8076134699853844E-3</c:v>
                </c:pt>
                <c:pt idx="6">
                  <c:v>-1.6994147439504982E-2</c:v>
                </c:pt>
                <c:pt idx="7">
                  <c:v>-2.3609493670886002E-2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C-465B-8BDB-79DC182C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48563"/>
        <c:axId val="1557918934"/>
      </c:lineChart>
      <c:lineChart>
        <c:grouping val="standard"/>
        <c:varyColors val="1"/>
        <c:ser>
          <c:idx val="1"/>
          <c:order val="1"/>
          <c:tx>
            <c:v>Conjunctuur</c:v>
          </c:tx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Advies'!$AF$2:$AF$9</c:f>
              <c:numCache>
                <c:formatCode>0.00%</c:formatCode>
                <c:ptCount val="8"/>
                <c:pt idx="1">
                  <c:v>3.32842E-2</c:v>
                </c:pt>
                <c:pt idx="2">
                  <c:v>1.8249999999999999E-2</c:v>
                </c:pt>
                <c:pt idx="3">
                  <c:v>3.7705000000000002E-2</c:v>
                </c:pt>
                <c:pt idx="4">
                  <c:v>9.6201999999999954E-3</c:v>
                </c:pt>
                <c:pt idx="5">
                  <c:v>4.1006399999999998E-2</c:v>
                </c:pt>
                <c:pt idx="6">
                  <c:v>1.1233999999999999E-2</c:v>
                </c:pt>
                <c:pt idx="7">
                  <c:v>2.4495999999999997E-3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C-465B-8BDB-79DC182CEC6E}"/>
            </c:ext>
          </c:extLst>
        </c:ser>
        <c:ser>
          <c:idx val="2"/>
          <c:order val="2"/>
          <c:tx>
            <c:v>Conjunctuur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Advies'!$I$2:$I$10</c:f>
              <c:numCache>
                <c:formatCode>0.00%</c:formatCode>
                <c:ptCount val="9"/>
                <c:pt idx="1">
                  <c:v>1.2E-2</c:v>
                </c:pt>
                <c:pt idx="2">
                  <c:v>-1.4000000000000002E-2</c:v>
                </c:pt>
                <c:pt idx="3">
                  <c:v>6.0000000000000019E-3</c:v>
                </c:pt>
                <c:pt idx="4">
                  <c:v>-2.8000000000000001E-2</c:v>
                </c:pt>
                <c:pt idx="5">
                  <c:v>1.7000000000000001E-2</c:v>
                </c:pt>
                <c:pt idx="6">
                  <c:v>2.7999999999999997E-2</c:v>
                </c:pt>
                <c:pt idx="7">
                  <c:v>-2.5000000000000001E-2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C-465B-8BDB-79DC182C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508978"/>
        <c:axId val="1452412989"/>
      </c:lineChart>
      <c:catAx>
        <c:axId val="775848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557918934"/>
        <c:crosses val="autoZero"/>
        <c:auto val="1"/>
        <c:lblAlgn val="ctr"/>
        <c:lblOffset val="100"/>
        <c:noMultiLvlLbl val="1"/>
      </c:catAx>
      <c:valAx>
        <c:axId val="1557918934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Structureel Primair Saldo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775848563"/>
        <c:crosses val="autoZero"/>
        <c:crossBetween val="between"/>
      </c:valAx>
      <c:catAx>
        <c:axId val="150450897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2412989"/>
        <c:crosses val="autoZero"/>
        <c:auto val="1"/>
        <c:lblAlgn val="ctr"/>
        <c:lblOffset val="100"/>
        <c:noMultiLvlLbl val="1"/>
      </c:catAx>
      <c:valAx>
        <c:axId val="1452412989"/>
        <c:scaling>
          <c:orientation val="minMax"/>
          <c:max val="0.0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Output Gap in % BBP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50450897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5925"/>
          <c:y val="0.1507187780772686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Mutaties totale uitgaven en output gap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overheidsuitgaven_reeel!$R$1</c:f>
              <c:strCache>
                <c:ptCount val="1"/>
                <c:pt idx="0">
                  <c:v>Totaal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overheidsuitgaven_reeel!$A$2:$A$28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overheidsuitgaven_reeel!$R$2:$R$28</c:f>
              <c:numCache>
                <c:formatCode>0.00%</c:formatCode>
                <c:ptCount val="27"/>
                <c:pt idx="1">
                  <c:v>-9.8385417336195546E-2</c:v>
                </c:pt>
                <c:pt idx="2">
                  <c:v>1.6650983428788235E-2</c:v>
                </c:pt>
                <c:pt idx="3">
                  <c:v>2.3667483347812324E-2</c:v>
                </c:pt>
                <c:pt idx="4">
                  <c:v>2.3714423831731724E-2</c:v>
                </c:pt>
                <c:pt idx="5">
                  <c:v>2.4698151948082225E-2</c:v>
                </c:pt>
                <c:pt idx="6">
                  <c:v>4.644029877674738E-2</c:v>
                </c:pt>
                <c:pt idx="7">
                  <c:v>1.9474823819085829E-2</c:v>
                </c:pt>
                <c:pt idx="8">
                  <c:v>2.7655434980579985E-2</c:v>
                </c:pt>
                <c:pt idx="9">
                  <c:v>-1.0112471059475769E-3</c:v>
                </c:pt>
                <c:pt idx="10">
                  <c:v>1.3722624190277699E-3</c:v>
                </c:pt>
                <c:pt idx="11">
                  <c:v>6.5167281962121404E-2</c:v>
                </c:pt>
                <c:pt idx="12">
                  <c:v>2.6948966438644639E-2</c:v>
                </c:pt>
                <c:pt idx="13">
                  <c:v>4.1045021968882489E-2</c:v>
                </c:pt>
                <c:pt idx="14">
                  <c:v>5.4439903600770778E-2</c:v>
                </c:pt>
                <c:pt idx="15">
                  <c:v>1.7607456788197862E-2</c:v>
                </c:pt>
                <c:pt idx="16">
                  <c:v>-2.5489535851806244E-2</c:v>
                </c:pt>
                <c:pt idx="17">
                  <c:v>-1.9252071957485128E-2</c:v>
                </c:pt>
                <c:pt idx="18">
                  <c:v>-5.3581152054551495E-3</c:v>
                </c:pt>
                <c:pt idx="19">
                  <c:v>-5.5754274744592713E-3</c:v>
                </c:pt>
                <c:pt idx="20">
                  <c:v>-5.052285753844532E-3</c:v>
                </c:pt>
                <c:pt idx="21">
                  <c:v>-3.9510988950006709E-3</c:v>
                </c:pt>
                <c:pt idx="22">
                  <c:v>-2.7221457436787944E-4</c:v>
                </c:pt>
                <c:pt idx="23">
                  <c:v>2.9708392514056214E-2</c:v>
                </c:pt>
                <c:pt idx="24">
                  <c:v>3.0132134155216539E-2</c:v>
                </c:pt>
                <c:pt idx="25">
                  <c:v>9.9214641344794741E-2</c:v>
                </c:pt>
                <c:pt idx="26">
                  <c:v>2.1912623120026398E-2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5-4785-9951-DEF39C00DB2F}"/>
            </c:ext>
          </c:extLst>
        </c:ser>
        <c:ser>
          <c:idx val="1"/>
          <c:order val="1"/>
          <c:tx>
            <c:strRef>
              <c:f>overheidsuitgaven_reeel!$C$1</c:f>
              <c:strCache>
                <c:ptCount val="1"/>
                <c:pt idx="0">
                  <c:v>Output gap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overheidsuitgaven_reeel!$A$2:$A$28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overheidsuitgaven_reeel!$C$2:$C$28</c:f>
              <c:numCache>
                <c:formatCode>0.00%</c:formatCode>
                <c:ptCount val="27"/>
                <c:pt idx="0">
                  <c:v>-1.3000000000000001E-2</c:v>
                </c:pt>
                <c:pt idx="1">
                  <c:v>-1.2E-2</c:v>
                </c:pt>
                <c:pt idx="2">
                  <c:v>-5.0000000000000001E-3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2.7000000000000003E-2</c:v>
                </c:pt>
                <c:pt idx="6">
                  <c:v>1.9E-2</c:v>
                </c:pt>
                <c:pt idx="7">
                  <c:v>-4.0000000000000001E-3</c:v>
                </c:pt>
                <c:pt idx="8">
                  <c:v>-2.3E-2</c:v>
                </c:pt>
                <c:pt idx="9">
                  <c:v>-2.1000000000000001E-2</c:v>
                </c:pt>
                <c:pt idx="10">
                  <c:v>-1.6E-2</c:v>
                </c:pt>
                <c:pt idx="11">
                  <c:v>0</c:v>
                </c:pt>
                <c:pt idx="12">
                  <c:v>1.8000000000000002E-2</c:v>
                </c:pt>
                <c:pt idx="13">
                  <c:v>2.2000000000000002E-2</c:v>
                </c:pt>
                <c:pt idx="14">
                  <c:v>-2.6000000000000002E-2</c:v>
                </c:pt>
                <c:pt idx="15">
                  <c:v>-1.9E-2</c:v>
                </c:pt>
                <c:pt idx="16">
                  <c:v>-1.2E-2</c:v>
                </c:pt>
                <c:pt idx="17">
                  <c:v>-2.6000000000000002E-2</c:v>
                </c:pt>
                <c:pt idx="18">
                  <c:v>-3.1E-2</c:v>
                </c:pt>
                <c:pt idx="19">
                  <c:v>-2.2000000000000002E-2</c:v>
                </c:pt>
                <c:pt idx="20">
                  <c:v>-1.7000000000000001E-2</c:v>
                </c:pt>
                <c:pt idx="21">
                  <c:v>-8.0000000000000002E-3</c:v>
                </c:pt>
                <c:pt idx="22">
                  <c:v>6.0000000000000001E-3</c:v>
                </c:pt>
                <c:pt idx="23">
                  <c:v>1.3000000000000001E-2</c:v>
                </c:pt>
                <c:pt idx="24">
                  <c:v>1.3999999999999999E-2</c:v>
                </c:pt>
                <c:pt idx="25">
                  <c:v>-0.04</c:v>
                </c:pt>
                <c:pt idx="26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5-4785-9951-DEF39C00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601651"/>
        <c:axId val="149967707"/>
      </c:lineChart>
      <c:catAx>
        <c:axId val="2016601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49967707"/>
        <c:crosses val="autoZero"/>
        <c:auto val="1"/>
        <c:lblAlgn val="ctr"/>
        <c:lblOffset val="100"/>
        <c:noMultiLvlLbl val="1"/>
      </c:catAx>
      <c:valAx>
        <c:axId val="149967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0166016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overheidsuitgaven_reeel!$D$1</c:f>
              <c:strCache>
                <c:ptCount val="1"/>
                <c:pt idx="0">
                  <c:v>Totaal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overheidsuitgaven_reeel!$A$2:$A$28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overheidsuitgaven_reeel!$D$2:$D$28</c:f>
              <c:numCache>
                <c:formatCode>General</c:formatCode>
                <c:ptCount val="27"/>
                <c:pt idx="0">
                  <c:v>170570.35854616895</c:v>
                </c:pt>
                <c:pt idx="1">
                  <c:v>153788.7226354196</c:v>
                </c:pt>
                <c:pt idx="2">
                  <c:v>156349.4561075565</c:v>
                </c:pt>
                <c:pt idx="3">
                  <c:v>160049.85425642162</c:v>
                </c:pt>
                <c:pt idx="4">
                  <c:v>163845.34433446528</c:v>
                </c:pt>
                <c:pt idx="5">
                  <c:v>167892.02154482374</c:v>
                </c:pt>
                <c:pt idx="6">
                  <c:v>175688.97718759745</c:v>
                </c:pt>
                <c:pt idx="7">
                  <c:v>179110.48906528129</c:v>
                </c:pt>
                <c:pt idx="8">
                  <c:v>184063.86754996606</c:v>
                </c:pt>
                <c:pt idx="9">
                  <c:v>183877.73349659663</c:v>
                </c:pt>
                <c:pt idx="10">
                  <c:v>184130.06199997003</c:v>
                </c:pt>
                <c:pt idx="11">
                  <c:v>196129.31766802497</c:v>
                </c:pt>
                <c:pt idx="12">
                  <c:v>201414.80006749486</c:v>
                </c:pt>
                <c:pt idx="13">
                  <c:v>209681.87496112325</c:v>
                </c:pt>
                <c:pt idx="14">
                  <c:v>221096.93602083568</c:v>
                </c:pt>
                <c:pt idx="15">
                  <c:v>224989.89076782548</c:v>
                </c:pt>
                <c:pt idx="16">
                  <c:v>219255.00288080503</c:v>
                </c:pt>
                <c:pt idx="17">
                  <c:v>215033.88978830515</c:v>
                </c:pt>
                <c:pt idx="18">
                  <c:v>213881.71343374226</c:v>
                </c:pt>
                <c:pt idx="19">
                  <c:v>212689.23145237935</c:v>
                </c:pt>
                <c:pt idx="20">
                  <c:v>211614.66467831636</c:v>
                </c:pt>
                <c:pt idx="21">
                  <c:v>210778.55421053994</c:v>
                </c:pt>
                <c:pt idx="22">
                  <c:v>210721.17721611963</c:v>
                </c:pt>
                <c:pt idx="23">
                  <c:v>216981.36465988011</c:v>
                </c:pt>
                <c:pt idx="24">
                  <c:v>223519.4762489936</c:v>
                </c:pt>
                <c:pt idx="25">
                  <c:v>245695.88091861387</c:v>
                </c:pt>
                <c:pt idx="26">
                  <c:v>251079.72215932634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9-440B-9084-809A96F3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3463"/>
        <c:axId val="51207251"/>
      </c:lineChart>
      <c:catAx>
        <c:axId val="1492043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51207251"/>
        <c:crosses val="autoZero"/>
        <c:auto val="1"/>
        <c:lblAlgn val="ctr"/>
        <c:lblOffset val="100"/>
        <c:noMultiLvlLbl val="1"/>
      </c:catAx>
      <c:valAx>
        <c:axId val="51207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4920434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overheidsuitgaven_reeel!$O$3:$O$28</c:f>
              <c:numCache>
                <c:formatCode>General</c:formatCode>
                <c:ptCount val="26"/>
                <c:pt idx="0">
                  <c:v>138345.48780812373</c:v>
                </c:pt>
                <c:pt idx="1">
                  <c:v>141200.69052619356</c:v>
                </c:pt>
                <c:pt idx="2">
                  <c:v>145033.13684305234</c:v>
                </c:pt>
                <c:pt idx="3">
                  <c:v>149245.37945602043</c:v>
                </c:pt>
                <c:pt idx="4">
                  <c:v>154840.57107345696</c:v>
                </c:pt>
                <c:pt idx="5">
                  <c:v>163937.17500998938</c:v>
                </c:pt>
                <c:pt idx="6">
                  <c:v>168567.50204897067</c:v>
                </c:pt>
                <c:pt idx="7">
                  <c:v>174298.0622845515</c:v>
                </c:pt>
                <c:pt idx="8">
                  <c:v>174096.3679807997</c:v>
                </c:pt>
                <c:pt idx="9">
                  <c:v>174748.25337360165</c:v>
                </c:pt>
                <c:pt idx="10">
                  <c:v>187023.80246455455</c:v>
                </c:pt>
                <c:pt idx="11">
                  <c:v>192138.3415844471</c:v>
                </c:pt>
                <c:pt idx="12">
                  <c:v>199829.8228577298</c:v>
                </c:pt>
                <c:pt idx="13">
                  <c:v>211707.34052032005</c:v>
                </c:pt>
                <c:pt idx="14">
                  <c:v>216661.23530988139</c:v>
                </c:pt>
                <c:pt idx="15">
                  <c:v>210925.44217572792</c:v>
                </c:pt>
                <c:pt idx="16">
                  <c:v>207362.38700615056</c:v>
                </c:pt>
                <c:pt idx="17">
                  <c:v>206764.26030413486</c:v>
                </c:pt>
                <c:pt idx="18">
                  <c:v>205915.23381619161</c:v>
                </c:pt>
                <c:pt idx="19">
                  <c:v>205474.06820113386</c:v>
                </c:pt>
                <c:pt idx="20">
                  <c:v>205221.50576950284</c:v>
                </c:pt>
                <c:pt idx="21">
                  <c:v>205748.47747236409</c:v>
                </c:pt>
                <c:pt idx="22">
                  <c:v>212384.3215165294</c:v>
                </c:pt>
                <c:pt idx="23">
                  <c:v>219452.97019921307</c:v>
                </c:pt>
                <c:pt idx="24">
                  <c:v>242192.85847149591</c:v>
                </c:pt>
                <c:pt idx="25">
                  <c:v>248023.90477622134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B-4571-B58E-83B2AE47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475903"/>
        <c:axId val="1822863184"/>
      </c:lineChart>
      <c:catAx>
        <c:axId val="9164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2863184"/>
        <c:crosses val="autoZero"/>
        <c:auto val="1"/>
        <c:lblAlgn val="ctr"/>
        <c:lblOffset val="100"/>
        <c:noMultiLvlLbl val="0"/>
      </c:catAx>
      <c:valAx>
        <c:axId val="18228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64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Totale rële uitgaven excl rente.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4409439756788409"/>
          <c:y val="8.0768532482020317E-2"/>
          <c:w val="0.79342519425805436"/>
          <c:h val="0.77518556881709244"/>
        </c:manualLayout>
      </c:layout>
      <c:lineChart>
        <c:grouping val="standard"/>
        <c:varyColors val="0"/>
        <c:ser>
          <c:idx val="0"/>
          <c:order val="0"/>
          <c:tx>
            <c:strRef>
              <c:f>overheidsuitgaven_reeel!$O$1</c:f>
              <c:strCache>
                <c:ptCount val="1"/>
                <c:pt idx="0">
                  <c:v>Totaal reële zonder rente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overheidsuitgaven_reeel!$A$2:$A$29</c15:sqref>
                  </c15:fullRef>
                </c:ext>
              </c:extLst>
              <c:f>overheidsuitgaven_reeel!$A$3:$A$29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overheidsuitgaven_reeel!$O$2:$O$29</c15:sqref>
                  </c15:fullRef>
                </c:ext>
              </c:extLst>
              <c:f>overheidsuitgaven_reeel!$O$3:$O$29</c:f>
              <c:numCache>
                <c:formatCode>General</c:formatCode>
                <c:ptCount val="27"/>
                <c:pt idx="0">
                  <c:v>138345.48780812373</c:v>
                </c:pt>
                <c:pt idx="1">
                  <c:v>141200.69052619356</c:v>
                </c:pt>
                <c:pt idx="2">
                  <c:v>145033.13684305234</c:v>
                </c:pt>
                <c:pt idx="3">
                  <c:v>149245.37945602043</c:v>
                </c:pt>
                <c:pt idx="4">
                  <c:v>154840.57107345696</c:v>
                </c:pt>
                <c:pt idx="5">
                  <c:v>163937.17500998938</c:v>
                </c:pt>
                <c:pt idx="6">
                  <c:v>168567.50204897067</c:v>
                </c:pt>
                <c:pt idx="7">
                  <c:v>174298.0622845515</c:v>
                </c:pt>
                <c:pt idx="8">
                  <c:v>174096.3679807997</c:v>
                </c:pt>
                <c:pt idx="9">
                  <c:v>174748.25337360165</c:v>
                </c:pt>
                <c:pt idx="10">
                  <c:v>187023.80246455455</c:v>
                </c:pt>
                <c:pt idx="11">
                  <c:v>192138.3415844471</c:v>
                </c:pt>
                <c:pt idx="12">
                  <c:v>199829.8228577298</c:v>
                </c:pt>
                <c:pt idx="13">
                  <c:v>211707.34052032005</c:v>
                </c:pt>
                <c:pt idx="14">
                  <c:v>216661.23530988139</c:v>
                </c:pt>
                <c:pt idx="15">
                  <c:v>210925.44217572792</c:v>
                </c:pt>
                <c:pt idx="16">
                  <c:v>207362.38700615056</c:v>
                </c:pt>
                <c:pt idx="17">
                  <c:v>206764.26030413486</c:v>
                </c:pt>
                <c:pt idx="18">
                  <c:v>205915.23381619161</c:v>
                </c:pt>
                <c:pt idx="19">
                  <c:v>205474.06820113386</c:v>
                </c:pt>
                <c:pt idx="20">
                  <c:v>205221.50576950284</c:v>
                </c:pt>
                <c:pt idx="21">
                  <c:v>205748.47747236409</c:v>
                </c:pt>
                <c:pt idx="22">
                  <c:v>212384.3215165294</c:v>
                </c:pt>
                <c:pt idx="23">
                  <c:v>219452.97019921307</c:v>
                </c:pt>
                <c:pt idx="24">
                  <c:v>242192.85847149591</c:v>
                </c:pt>
                <c:pt idx="25">
                  <c:v>248023.90477622134</c:v>
                </c:pt>
                <c:pt idx="26">
                  <c:v>231718.99982934108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F-4853-B5B8-15E4EF5AECE6}"/>
            </c:ext>
          </c:extLst>
        </c:ser>
        <c:ser>
          <c:idx val="1"/>
          <c:order val="1"/>
          <c:tx>
            <c:strRef>
              <c:f>overheidsuitgaven_reeel!$P$1</c:f>
              <c:strCache>
                <c:ptCount val="1"/>
                <c:pt idx="0">
                  <c:v>Trendlijn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overheidsuitgaven_reeel!$A$2:$A$29</c15:sqref>
                  </c15:fullRef>
                </c:ext>
              </c:extLst>
              <c:f>overheidsuitgaven_reeel!$A$3:$A$29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overheidsuitgaven_reeel!$P$2:$P$29</c15:sqref>
                  </c15:fullRef>
                </c:ext>
              </c:extLst>
              <c:f>overheidsuitgaven_reeel!$P$3:$P$29</c:f>
              <c:numCache>
                <c:formatCode>General</c:formatCode>
                <c:ptCount val="27"/>
                <c:pt idx="0">
                  <c:v>138345.48780812373</c:v>
                </c:pt>
                <c:pt idx="1">
                  <c:v>141936.7767320167</c:v>
                </c:pt>
                <c:pt idx="2">
                  <c:v>146323.91341074061</c:v>
                </c:pt>
                <c:pt idx="3">
                  <c:v>150711.05008946452</c:v>
                </c:pt>
                <c:pt idx="4">
                  <c:v>155098.18676818843</c:v>
                </c:pt>
                <c:pt idx="5">
                  <c:v>159485.32344691234</c:v>
                </c:pt>
                <c:pt idx="6">
                  <c:v>163872.46012563625</c:v>
                </c:pt>
                <c:pt idx="7">
                  <c:v>168259.59680436016</c:v>
                </c:pt>
                <c:pt idx="8">
                  <c:v>172646.73348308407</c:v>
                </c:pt>
                <c:pt idx="9">
                  <c:v>177033.87016180798</c:v>
                </c:pt>
                <c:pt idx="10">
                  <c:v>181421.00684053189</c:v>
                </c:pt>
                <c:pt idx="11">
                  <c:v>185808.1435192558</c:v>
                </c:pt>
                <c:pt idx="12">
                  <c:v>190195.28019797971</c:v>
                </c:pt>
                <c:pt idx="13">
                  <c:v>194582.41687670362</c:v>
                </c:pt>
                <c:pt idx="14">
                  <c:v>198969.55355542753</c:v>
                </c:pt>
                <c:pt idx="15">
                  <c:v>203356.69023415144</c:v>
                </c:pt>
                <c:pt idx="16">
                  <c:v>207743.82691287535</c:v>
                </c:pt>
                <c:pt idx="17">
                  <c:v>212130.96359159925</c:v>
                </c:pt>
                <c:pt idx="18">
                  <c:v>216518.10027032316</c:v>
                </c:pt>
                <c:pt idx="19">
                  <c:v>220905.23694904707</c:v>
                </c:pt>
                <c:pt idx="20">
                  <c:v>225292.37362777098</c:v>
                </c:pt>
                <c:pt idx="21">
                  <c:v>229679.51030649489</c:v>
                </c:pt>
                <c:pt idx="22">
                  <c:v>234066.6469852188</c:v>
                </c:pt>
                <c:pt idx="23">
                  <c:v>238453.78366394271</c:v>
                </c:pt>
                <c:pt idx="24">
                  <c:v>242840.92034266662</c:v>
                </c:pt>
                <c:pt idx="25">
                  <c:v>247228.05702139053</c:v>
                </c:pt>
                <c:pt idx="26">
                  <c:v>251615.19370011444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F-4853-B5B8-15E4EF5AE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11695"/>
        <c:axId val="1822860784"/>
      </c:lineChart>
      <c:catAx>
        <c:axId val="51021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2860784"/>
        <c:crosses val="autoZero"/>
        <c:auto val="1"/>
        <c:lblAlgn val="ctr"/>
        <c:lblOffset val="100"/>
        <c:noMultiLvlLbl val="0"/>
      </c:catAx>
      <c:valAx>
        <c:axId val="1822860784"/>
        <c:scaling>
          <c:orientation val="minMax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Reële uitgaven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02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Beleid is pro-cyclisch: We bezuinigen als de output gap negatief is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'AMECO Policy'!$B$1</c:f>
              <c:strCache>
                <c:ptCount val="1"/>
                <c:pt idx="0">
                  <c:v>output_gap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'AMECO Policy'!$A$2:$A$16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'AMECO Policy'!$B$2:$B$16</c:f>
              <c:numCache>
                <c:formatCode>General</c:formatCode>
                <c:ptCount val="15"/>
                <c:pt idx="0">
                  <c:v>-1.9</c:v>
                </c:pt>
                <c:pt idx="1">
                  <c:v>-1.2</c:v>
                </c:pt>
                <c:pt idx="2">
                  <c:v>-2.6</c:v>
                </c:pt>
                <c:pt idx="3">
                  <c:v>-3.1</c:v>
                </c:pt>
                <c:pt idx="4">
                  <c:v>-2.2000000000000002</c:v>
                </c:pt>
                <c:pt idx="5">
                  <c:v>-1.7</c:v>
                </c:pt>
                <c:pt idx="6">
                  <c:v>-0.8</c:v>
                </c:pt>
                <c:pt idx="7">
                  <c:v>0.6</c:v>
                </c:pt>
                <c:pt idx="8">
                  <c:v>1.3</c:v>
                </c:pt>
                <c:pt idx="9">
                  <c:v>1.4</c:v>
                </c:pt>
                <c:pt idx="10">
                  <c:v>-4</c:v>
                </c:pt>
                <c:pt idx="11">
                  <c:v>-1</c:v>
                </c:pt>
                <c:pt idx="12">
                  <c:v>1.2</c:v>
                </c:pt>
                <c:pt idx="13">
                  <c:v>1.1000000000000001</c:v>
                </c:pt>
                <c:pt idx="1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D-4EB6-B0B5-606087E1B80F}"/>
            </c:ext>
          </c:extLst>
        </c:ser>
        <c:ser>
          <c:idx val="1"/>
          <c:order val="1"/>
          <c:tx>
            <c:strRef>
              <c:f>'AMECO Policy'!$F$1</c:f>
              <c:strCache>
                <c:ptCount val="1"/>
                <c:pt idx="0">
                  <c:v>policy_neg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'AMECO Policy'!$A$2:$A$16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'AMECO Policy'!$F$2:$F$16</c:f>
              <c:numCache>
                <c:formatCode>General</c:formatCode>
                <c:ptCount val="15"/>
                <c:pt idx="1">
                  <c:v>-0.4</c:v>
                </c:pt>
                <c:pt idx="2">
                  <c:v>-0.7</c:v>
                </c:pt>
                <c:pt idx="3">
                  <c:v>-2.1</c:v>
                </c:pt>
                <c:pt idx="4">
                  <c:v>-0.4</c:v>
                </c:pt>
                <c:pt idx="5">
                  <c:v>0.8</c:v>
                </c:pt>
                <c:pt idx="6">
                  <c:v>-0.5</c:v>
                </c:pt>
                <c:pt idx="7">
                  <c:v>-0.1</c:v>
                </c:pt>
                <c:pt idx="8">
                  <c:v>0.8</c:v>
                </c:pt>
                <c:pt idx="9">
                  <c:v>-0.2</c:v>
                </c:pt>
                <c:pt idx="10">
                  <c:v>4.5999999999999996</c:v>
                </c:pt>
                <c:pt idx="11">
                  <c:v>0.6</c:v>
                </c:pt>
                <c:pt idx="12">
                  <c:v>-0.4</c:v>
                </c:pt>
                <c:pt idx="13">
                  <c:v>0.3</c:v>
                </c:pt>
                <c:pt idx="14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D-4EB6-B0B5-606087E1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234581"/>
        <c:axId val="378835401"/>
      </c:lineChart>
      <c:catAx>
        <c:axId val="1656234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378835401"/>
        <c:crosses val="autoZero"/>
        <c:auto val="1"/>
        <c:lblAlgn val="ctr"/>
        <c:lblOffset val="100"/>
        <c:noMultiLvlLbl val="1"/>
      </c:catAx>
      <c:valAx>
        <c:axId val="378835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6562345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Het volgen van een schuld-stabiliserend saldo als anker had mogelijk geleid tot minder volatiele en lagere schuldquote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Gerealiseerde schuldquote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'Backtest-GDPpot_opt2'!$A$2:$A$53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'Backtest-GDPpot_opt2'!$L$2:$L$53</c:f>
              <c:numCache>
                <c:formatCode>0.00%</c:formatCode>
                <c:ptCount val="52"/>
                <c:pt idx="0">
                  <c:v>0.46399999999999997</c:v>
                </c:pt>
                <c:pt idx="1">
                  <c:v>0.436</c:v>
                </c:pt>
                <c:pt idx="2">
                  <c:v>0.40600000000000003</c:v>
                </c:pt>
                <c:pt idx="3">
                  <c:v>0.38600000000000001</c:v>
                </c:pt>
                <c:pt idx="4">
                  <c:v>0.39399999999999996</c:v>
                </c:pt>
                <c:pt idx="5">
                  <c:v>0.39200000000000002</c:v>
                </c:pt>
                <c:pt idx="6">
                  <c:v>0.39</c:v>
                </c:pt>
                <c:pt idx="7">
                  <c:v>0.40200000000000002</c:v>
                </c:pt>
                <c:pt idx="8">
                  <c:v>0.41799999999999998</c:v>
                </c:pt>
                <c:pt idx="9">
                  <c:v>0.441</c:v>
                </c:pt>
                <c:pt idx="10">
                  <c:v>0.47399999999999998</c:v>
                </c:pt>
                <c:pt idx="11">
                  <c:v>0.53</c:v>
                </c:pt>
                <c:pt idx="12">
                  <c:v>0.59099999999999997</c:v>
                </c:pt>
                <c:pt idx="13">
                  <c:v>0.626</c:v>
                </c:pt>
                <c:pt idx="14">
                  <c:v>0.68</c:v>
                </c:pt>
                <c:pt idx="15">
                  <c:v>0.69499999999999995</c:v>
                </c:pt>
                <c:pt idx="16">
                  <c:v>0.71499999999999997</c:v>
                </c:pt>
                <c:pt idx="17">
                  <c:v>0.73799999999999999</c:v>
                </c:pt>
                <c:pt idx="18">
                  <c:v>0.73799999999999999</c:v>
                </c:pt>
                <c:pt idx="19">
                  <c:v>0.74</c:v>
                </c:pt>
                <c:pt idx="20">
                  <c:v>0.73599999999999999</c:v>
                </c:pt>
                <c:pt idx="21">
                  <c:v>0.74199999999999999</c:v>
                </c:pt>
                <c:pt idx="22">
                  <c:v>0.75</c:v>
                </c:pt>
                <c:pt idx="23">
                  <c:v>0.72199999999999998</c:v>
                </c:pt>
                <c:pt idx="24">
                  <c:v>0.73499999999999999</c:v>
                </c:pt>
                <c:pt idx="25">
                  <c:v>0.71400000000000008</c:v>
                </c:pt>
                <c:pt idx="26">
                  <c:v>0.65799999999999992</c:v>
                </c:pt>
                <c:pt idx="27">
                  <c:v>0.628</c:v>
                </c:pt>
                <c:pt idx="28">
                  <c:v>0.58700000000000008</c:v>
                </c:pt>
                <c:pt idx="29">
                  <c:v>0.52200000000000002</c:v>
                </c:pt>
                <c:pt idx="30">
                  <c:v>0.495</c:v>
                </c:pt>
                <c:pt idx="31">
                  <c:v>0.48899999999999999</c:v>
                </c:pt>
                <c:pt idx="32">
                  <c:v>0.5</c:v>
                </c:pt>
                <c:pt idx="33">
                  <c:v>0.503</c:v>
                </c:pt>
                <c:pt idx="34">
                  <c:v>0.498</c:v>
                </c:pt>
                <c:pt idx="35">
                  <c:v>0.45200000000000001</c:v>
                </c:pt>
                <c:pt idx="36">
                  <c:v>0.43</c:v>
                </c:pt>
                <c:pt idx="37">
                  <c:v>0.54700000000000004</c:v>
                </c:pt>
                <c:pt idx="38">
                  <c:v>0.56799999999999995</c:v>
                </c:pt>
                <c:pt idx="39">
                  <c:v>0.59299999999999997</c:v>
                </c:pt>
                <c:pt idx="40">
                  <c:v>0.61699999999999999</c:v>
                </c:pt>
                <c:pt idx="41">
                  <c:v>0.66200000000000003</c:v>
                </c:pt>
                <c:pt idx="42">
                  <c:v>0.67700000000000005</c:v>
                </c:pt>
                <c:pt idx="43">
                  <c:v>0.67900000000000005</c:v>
                </c:pt>
                <c:pt idx="44">
                  <c:v>0.64599999999999991</c:v>
                </c:pt>
                <c:pt idx="45">
                  <c:v>0.61899999999999999</c:v>
                </c:pt>
                <c:pt idx="46">
                  <c:v>0.56999999999999995</c:v>
                </c:pt>
                <c:pt idx="47">
                  <c:v>0.52400000000000002</c:v>
                </c:pt>
                <c:pt idx="48">
                  <c:v>0.48499999999999999</c:v>
                </c:pt>
                <c:pt idx="49">
                  <c:v>0.54700000000000004</c:v>
                </c:pt>
                <c:pt idx="50">
                  <c:v>0.52400000000000002</c:v>
                </c:pt>
                <c:pt idx="51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9-4F60-A39C-DBB0AA5194CC}"/>
            </c:ext>
          </c:extLst>
        </c:ser>
        <c:ser>
          <c:idx val="1"/>
          <c:order val="1"/>
          <c:tx>
            <c:v>Schuldquote met schuld-stabiliserend anker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'Backtest-GDPpot_opt2'!$A$2:$A$53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'Backtest-GDPpot_opt2'!$AF$2:$AF$53</c:f>
              <c:numCache>
                <c:formatCode>0.00%</c:formatCode>
                <c:ptCount val="52"/>
                <c:pt idx="0">
                  <c:v>0.46399999999999997</c:v>
                </c:pt>
                <c:pt idx="1">
                  <c:v>0.44428286803553307</c:v>
                </c:pt>
                <c:pt idx="2">
                  <c:v>0.40453328667920491</c:v>
                </c:pt>
                <c:pt idx="3">
                  <c:v>0.37187889484622022</c:v>
                </c:pt>
                <c:pt idx="4">
                  <c:v>0.37607328376712523</c:v>
                </c:pt>
                <c:pt idx="5">
                  <c:v>0.35390215221718013</c:v>
                </c:pt>
                <c:pt idx="6">
                  <c:v>0.34642536348277314</c:v>
                </c:pt>
                <c:pt idx="7">
                  <c:v>0.33687069207002523</c:v>
                </c:pt>
                <c:pt idx="8">
                  <c:v>0.33243523694082788</c:v>
                </c:pt>
                <c:pt idx="9">
                  <c:v>0.33569937530213245</c:v>
                </c:pt>
                <c:pt idx="10">
                  <c:v>0.36496318377143139</c:v>
                </c:pt>
                <c:pt idx="11">
                  <c:v>0.41786193734051424</c:v>
                </c:pt>
                <c:pt idx="12">
                  <c:v>0.4681815715736608</c:v>
                </c:pt>
                <c:pt idx="13">
                  <c:v>0.49336884422559896</c:v>
                </c:pt>
                <c:pt idx="14">
                  <c:v>0.5217373336478367</c:v>
                </c:pt>
                <c:pt idx="15">
                  <c:v>0.52854562886311418</c:v>
                </c:pt>
                <c:pt idx="16">
                  <c:v>0.54814955605139126</c:v>
                </c:pt>
                <c:pt idx="17">
                  <c:v>0.54226072698705008</c:v>
                </c:pt>
                <c:pt idx="18">
                  <c:v>0.51810252167459514</c:v>
                </c:pt>
                <c:pt idx="19">
                  <c:v>0.48402766111544093</c:v>
                </c:pt>
                <c:pt idx="20">
                  <c:v>0.45809845060140925</c:v>
                </c:pt>
                <c:pt idx="21">
                  <c:v>0.45250027447803232</c:v>
                </c:pt>
                <c:pt idx="22">
                  <c:v>0.4705682050967494</c:v>
                </c:pt>
                <c:pt idx="23">
                  <c:v>0.47808428340178949</c:v>
                </c:pt>
                <c:pt idx="24">
                  <c:v>0.44584053035197246</c:v>
                </c:pt>
                <c:pt idx="25">
                  <c:v>0.4512796787082598</c:v>
                </c:pt>
                <c:pt idx="26">
                  <c:v>0.41821445716440525</c:v>
                </c:pt>
                <c:pt idx="27">
                  <c:v>0.40765393719532178</c:v>
                </c:pt>
                <c:pt idx="28">
                  <c:v>0.38665960413004469</c:v>
                </c:pt>
                <c:pt idx="29">
                  <c:v>0.34136128763623985</c:v>
                </c:pt>
                <c:pt idx="30">
                  <c:v>0.31974431713600726</c:v>
                </c:pt>
                <c:pt idx="31">
                  <c:v>0.31750066517818742</c:v>
                </c:pt>
                <c:pt idx="32">
                  <c:v>0.33656695779753415</c:v>
                </c:pt>
                <c:pt idx="33">
                  <c:v>0.35992999727529473</c:v>
                </c:pt>
                <c:pt idx="34">
                  <c:v>0.38336962269336083</c:v>
                </c:pt>
                <c:pt idx="35">
                  <c:v>0.35510956513407288</c:v>
                </c:pt>
                <c:pt idx="36">
                  <c:v>0.33256278900610509</c:v>
                </c:pt>
                <c:pt idx="37">
                  <c:v>0.44902526565263873</c:v>
                </c:pt>
                <c:pt idx="38">
                  <c:v>0.45267484610148434</c:v>
                </c:pt>
                <c:pt idx="39">
                  <c:v>0.45571193169198732</c:v>
                </c:pt>
                <c:pt idx="40">
                  <c:v>0.45952569392092374</c:v>
                </c:pt>
                <c:pt idx="41">
                  <c:v>0.50379023412062129</c:v>
                </c:pt>
                <c:pt idx="42">
                  <c:v>0.53129012048800828</c:v>
                </c:pt>
                <c:pt idx="43">
                  <c:v>0.54449563424984526</c:v>
                </c:pt>
                <c:pt idx="44">
                  <c:v>0.52079470497848057</c:v>
                </c:pt>
                <c:pt idx="45">
                  <c:v>0.51305497704502423</c:v>
                </c:pt>
                <c:pt idx="46">
                  <c:v>0.48862297897894008</c:v>
                </c:pt>
                <c:pt idx="47">
                  <c:v>0.46220819933880852</c:v>
                </c:pt>
                <c:pt idx="48">
                  <c:v>0.44250253709863102</c:v>
                </c:pt>
                <c:pt idx="49">
                  <c:v>0.5194045081742138</c:v>
                </c:pt>
                <c:pt idx="50">
                  <c:v>0.49918287832556119</c:v>
                </c:pt>
                <c:pt idx="51">
                  <c:v>0.45997686348487737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9-4F60-A39C-DBB0AA51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269694"/>
        <c:axId val="2075199640"/>
      </c:lineChart>
      <c:catAx>
        <c:axId val="1911269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075199640"/>
        <c:crosses val="autoZero"/>
        <c:auto val="1"/>
        <c:lblAlgn val="ctr"/>
        <c:lblOffset val="100"/>
        <c:noMultiLvlLbl val="1"/>
      </c:catAx>
      <c:valAx>
        <c:axId val="2075199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9112696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'Backtest-GDPpot_opt2'!$AF$1</c:f>
              <c:strCache>
                <c:ptCount val="1"/>
                <c:pt idx="0">
                  <c:v>debt_sim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'Backtest-GDPpot_opt2'!$A$2:$A$53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'Backtest-GDPpot_opt2'!$AF$2:$AF$53</c:f>
              <c:numCache>
                <c:formatCode>0.00%</c:formatCode>
                <c:ptCount val="52"/>
                <c:pt idx="0">
                  <c:v>0.46399999999999997</c:v>
                </c:pt>
                <c:pt idx="1">
                  <c:v>0.44428286803553307</c:v>
                </c:pt>
                <c:pt idx="2">
                  <c:v>0.40453328667920491</c:v>
                </c:pt>
                <c:pt idx="3">
                  <c:v>0.37187889484622022</c:v>
                </c:pt>
                <c:pt idx="4">
                  <c:v>0.37607328376712523</c:v>
                </c:pt>
                <c:pt idx="5">
                  <c:v>0.35390215221718013</c:v>
                </c:pt>
                <c:pt idx="6">
                  <c:v>0.34642536348277314</c:v>
                </c:pt>
                <c:pt idx="7">
                  <c:v>0.33687069207002523</c:v>
                </c:pt>
                <c:pt idx="8">
                  <c:v>0.33243523694082788</c:v>
                </c:pt>
                <c:pt idx="9">
                  <c:v>0.33569937530213245</c:v>
                </c:pt>
                <c:pt idx="10">
                  <c:v>0.36496318377143139</c:v>
                </c:pt>
                <c:pt idx="11">
                  <c:v>0.41786193734051424</c:v>
                </c:pt>
                <c:pt idx="12">
                  <c:v>0.4681815715736608</c:v>
                </c:pt>
                <c:pt idx="13">
                  <c:v>0.49336884422559896</c:v>
                </c:pt>
                <c:pt idx="14">
                  <c:v>0.5217373336478367</c:v>
                </c:pt>
                <c:pt idx="15">
                  <c:v>0.52854562886311418</c:v>
                </c:pt>
                <c:pt idx="16">
                  <c:v>0.54814955605139126</c:v>
                </c:pt>
                <c:pt idx="17">
                  <c:v>0.54226072698705008</c:v>
                </c:pt>
                <c:pt idx="18">
                  <c:v>0.51810252167459514</c:v>
                </c:pt>
                <c:pt idx="19">
                  <c:v>0.48402766111544093</c:v>
                </c:pt>
                <c:pt idx="20">
                  <c:v>0.45809845060140925</c:v>
                </c:pt>
                <c:pt idx="21">
                  <c:v>0.45250027447803232</c:v>
                </c:pt>
                <c:pt idx="22">
                  <c:v>0.4705682050967494</c:v>
                </c:pt>
                <c:pt idx="23">
                  <c:v>0.47808428340178949</c:v>
                </c:pt>
                <c:pt idx="24">
                  <c:v>0.44584053035197246</c:v>
                </c:pt>
                <c:pt idx="25">
                  <c:v>0.4512796787082598</c:v>
                </c:pt>
                <c:pt idx="26">
                  <c:v>0.41821445716440525</c:v>
                </c:pt>
                <c:pt idx="27">
                  <c:v>0.40765393719532178</c:v>
                </c:pt>
                <c:pt idx="28">
                  <c:v>0.38665960413004469</c:v>
                </c:pt>
                <c:pt idx="29">
                  <c:v>0.34136128763623985</c:v>
                </c:pt>
                <c:pt idx="30">
                  <c:v>0.31974431713600726</c:v>
                </c:pt>
                <c:pt idx="31">
                  <c:v>0.31750066517818742</c:v>
                </c:pt>
                <c:pt idx="32">
                  <c:v>0.33656695779753415</c:v>
                </c:pt>
                <c:pt idx="33">
                  <c:v>0.35992999727529473</c:v>
                </c:pt>
                <c:pt idx="34">
                  <c:v>0.38336962269336083</c:v>
                </c:pt>
                <c:pt idx="35">
                  <c:v>0.35510956513407288</c:v>
                </c:pt>
                <c:pt idx="36">
                  <c:v>0.33256278900610509</c:v>
                </c:pt>
                <c:pt idx="37">
                  <c:v>0.44902526565263873</c:v>
                </c:pt>
                <c:pt idx="38">
                  <c:v>0.45267484610148434</c:v>
                </c:pt>
                <c:pt idx="39">
                  <c:v>0.45571193169198732</c:v>
                </c:pt>
                <c:pt idx="40">
                  <c:v>0.45952569392092374</c:v>
                </c:pt>
                <c:pt idx="41">
                  <c:v>0.50379023412062129</c:v>
                </c:pt>
                <c:pt idx="42">
                  <c:v>0.53129012048800828</c:v>
                </c:pt>
                <c:pt idx="43">
                  <c:v>0.54449563424984526</c:v>
                </c:pt>
                <c:pt idx="44">
                  <c:v>0.52079470497848057</c:v>
                </c:pt>
                <c:pt idx="45">
                  <c:v>0.51305497704502423</c:v>
                </c:pt>
                <c:pt idx="46">
                  <c:v>0.48862297897894008</c:v>
                </c:pt>
                <c:pt idx="47">
                  <c:v>0.46220819933880852</c:v>
                </c:pt>
                <c:pt idx="48">
                  <c:v>0.44250253709863102</c:v>
                </c:pt>
                <c:pt idx="49">
                  <c:v>0.5194045081742138</c:v>
                </c:pt>
                <c:pt idx="50">
                  <c:v>0.49918287832556119</c:v>
                </c:pt>
                <c:pt idx="51">
                  <c:v>0.45997686348487737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8-47A5-A83D-4F38FBED41A4}"/>
            </c:ext>
          </c:extLst>
        </c:ser>
        <c:ser>
          <c:idx val="1"/>
          <c:order val="1"/>
          <c:tx>
            <c:strRef>
              <c:f>'Backtest-GDPpot_opt2'!$L$1</c:f>
              <c:strCache>
                <c:ptCount val="1"/>
                <c:pt idx="0">
                  <c:v>debt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'Backtest-GDPpot_opt2'!$A$2:$A$53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'Backtest-GDPpot_opt2'!$L$2:$L$53</c:f>
              <c:numCache>
                <c:formatCode>0.00%</c:formatCode>
                <c:ptCount val="52"/>
                <c:pt idx="0">
                  <c:v>0.46399999999999997</c:v>
                </c:pt>
                <c:pt idx="1">
                  <c:v>0.436</c:v>
                </c:pt>
                <c:pt idx="2">
                  <c:v>0.40600000000000003</c:v>
                </c:pt>
                <c:pt idx="3">
                  <c:v>0.38600000000000001</c:v>
                </c:pt>
                <c:pt idx="4">
                  <c:v>0.39399999999999996</c:v>
                </c:pt>
                <c:pt idx="5">
                  <c:v>0.39200000000000002</c:v>
                </c:pt>
                <c:pt idx="6">
                  <c:v>0.39</c:v>
                </c:pt>
                <c:pt idx="7">
                  <c:v>0.40200000000000002</c:v>
                </c:pt>
                <c:pt idx="8">
                  <c:v>0.41799999999999998</c:v>
                </c:pt>
                <c:pt idx="9">
                  <c:v>0.441</c:v>
                </c:pt>
                <c:pt idx="10">
                  <c:v>0.47399999999999998</c:v>
                </c:pt>
                <c:pt idx="11">
                  <c:v>0.53</c:v>
                </c:pt>
                <c:pt idx="12">
                  <c:v>0.59099999999999997</c:v>
                </c:pt>
                <c:pt idx="13">
                  <c:v>0.626</c:v>
                </c:pt>
                <c:pt idx="14">
                  <c:v>0.68</c:v>
                </c:pt>
                <c:pt idx="15">
                  <c:v>0.69499999999999995</c:v>
                </c:pt>
                <c:pt idx="16">
                  <c:v>0.71499999999999997</c:v>
                </c:pt>
                <c:pt idx="17">
                  <c:v>0.73799999999999999</c:v>
                </c:pt>
                <c:pt idx="18">
                  <c:v>0.73799999999999999</c:v>
                </c:pt>
                <c:pt idx="19">
                  <c:v>0.74</c:v>
                </c:pt>
                <c:pt idx="20">
                  <c:v>0.73599999999999999</c:v>
                </c:pt>
                <c:pt idx="21">
                  <c:v>0.74199999999999999</c:v>
                </c:pt>
                <c:pt idx="22">
                  <c:v>0.75</c:v>
                </c:pt>
                <c:pt idx="23">
                  <c:v>0.72199999999999998</c:v>
                </c:pt>
                <c:pt idx="24">
                  <c:v>0.73499999999999999</c:v>
                </c:pt>
                <c:pt idx="25">
                  <c:v>0.71400000000000008</c:v>
                </c:pt>
                <c:pt idx="26">
                  <c:v>0.65799999999999992</c:v>
                </c:pt>
                <c:pt idx="27">
                  <c:v>0.628</c:v>
                </c:pt>
                <c:pt idx="28">
                  <c:v>0.58700000000000008</c:v>
                </c:pt>
                <c:pt idx="29">
                  <c:v>0.52200000000000002</c:v>
                </c:pt>
                <c:pt idx="30">
                  <c:v>0.495</c:v>
                </c:pt>
                <c:pt idx="31">
                  <c:v>0.48899999999999999</c:v>
                </c:pt>
                <c:pt idx="32">
                  <c:v>0.5</c:v>
                </c:pt>
                <c:pt idx="33">
                  <c:v>0.503</c:v>
                </c:pt>
                <c:pt idx="34">
                  <c:v>0.498</c:v>
                </c:pt>
                <c:pt idx="35">
                  <c:v>0.45200000000000001</c:v>
                </c:pt>
                <c:pt idx="36">
                  <c:v>0.43</c:v>
                </c:pt>
                <c:pt idx="37">
                  <c:v>0.54700000000000004</c:v>
                </c:pt>
                <c:pt idx="38">
                  <c:v>0.56799999999999995</c:v>
                </c:pt>
                <c:pt idx="39">
                  <c:v>0.59299999999999997</c:v>
                </c:pt>
                <c:pt idx="40">
                  <c:v>0.61699999999999999</c:v>
                </c:pt>
                <c:pt idx="41">
                  <c:v>0.66200000000000003</c:v>
                </c:pt>
                <c:pt idx="42">
                  <c:v>0.67700000000000005</c:v>
                </c:pt>
                <c:pt idx="43">
                  <c:v>0.67900000000000005</c:v>
                </c:pt>
                <c:pt idx="44">
                  <c:v>0.64599999999999991</c:v>
                </c:pt>
                <c:pt idx="45">
                  <c:v>0.61899999999999999</c:v>
                </c:pt>
                <c:pt idx="46">
                  <c:v>0.56999999999999995</c:v>
                </c:pt>
                <c:pt idx="47">
                  <c:v>0.52400000000000002</c:v>
                </c:pt>
                <c:pt idx="48">
                  <c:v>0.48499999999999999</c:v>
                </c:pt>
                <c:pt idx="49">
                  <c:v>0.54700000000000004</c:v>
                </c:pt>
                <c:pt idx="50">
                  <c:v>0.52400000000000002</c:v>
                </c:pt>
                <c:pt idx="51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8-47A5-A83D-4F38FBED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193459"/>
        <c:axId val="415009147"/>
      </c:lineChart>
      <c:catAx>
        <c:axId val="1207193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415009147"/>
        <c:crosses val="autoZero"/>
        <c:auto val="1"/>
        <c:lblAlgn val="ctr"/>
        <c:lblOffset val="100"/>
        <c:noMultiLvlLbl val="1"/>
      </c:catAx>
      <c:valAx>
        <c:axId val="415009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2071934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Schuld-stabiliserend saldo anker vastgezet per formatie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'Backtest-GDPpot_opt2'!$Y$1</c:f>
              <c:strCache>
                <c:ptCount val="1"/>
                <c:pt idx="0">
                  <c:v>p_s_real_debt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'Backtest-GDPpot_opt2'!$A$2:$A$53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'Backtest-GDPpot_opt2'!$Y$2:$Y$53</c:f>
              <c:numCache>
                <c:formatCode>0.00%</c:formatCode>
                <c:ptCount val="52"/>
                <c:pt idx="1">
                  <c:v>-1.8435454826778327E-2</c:v>
                </c:pt>
                <c:pt idx="2">
                  <c:v>-1.6089618145418975E-2</c:v>
                </c:pt>
                <c:pt idx="3">
                  <c:v>-1.3766158356577161E-2</c:v>
                </c:pt>
                <c:pt idx="4">
                  <c:v>-1.4011363282734722E-2</c:v>
                </c:pt>
                <c:pt idx="5">
                  <c:v>-1.125195683565451E-2</c:v>
                </c:pt>
                <c:pt idx="6">
                  <c:v>-1.213864187743249E-2</c:v>
                </c:pt>
                <c:pt idx="7">
                  <c:v>-1.0710681659222284E-2</c:v>
                </c:pt>
                <c:pt idx="8">
                  <c:v>-8.9078734871621927E-3</c:v>
                </c:pt>
                <c:pt idx="9">
                  <c:v>-8.5342839114417798E-3</c:v>
                </c:pt>
                <c:pt idx="10">
                  <c:v>-6.6489147528916047E-3</c:v>
                </c:pt>
                <c:pt idx="11">
                  <c:v>5.3449582653852263E-3</c:v>
                </c:pt>
                <c:pt idx="12">
                  <c:v>1.2226332019590731E-2</c:v>
                </c:pt>
                <c:pt idx="13">
                  <c:v>1.0427555524203885E-2</c:v>
                </c:pt>
                <c:pt idx="14">
                  <c:v>1.2779036341715361E-2</c:v>
                </c:pt>
                <c:pt idx="15">
                  <c:v>2.2341003882286919E-2</c:v>
                </c:pt>
                <c:pt idx="16">
                  <c:v>1.5889034562693673E-2</c:v>
                </c:pt>
                <c:pt idx="17">
                  <c:v>1.836395054467781E-2</c:v>
                </c:pt>
                <c:pt idx="18">
                  <c:v>1.6852103309619618E-2</c:v>
                </c:pt>
                <c:pt idx="19">
                  <c:v>1.4168280582305117E-2</c:v>
                </c:pt>
                <c:pt idx="20">
                  <c:v>1.3932365395870679E-2</c:v>
                </c:pt>
                <c:pt idx="21">
                  <c:v>1.4862328794767038E-2</c:v>
                </c:pt>
                <c:pt idx="22">
                  <c:v>1.6848050193438623E-2</c:v>
                </c:pt>
                <c:pt idx="23">
                  <c:v>1.7234606749169101E-2</c:v>
                </c:pt>
                <c:pt idx="24">
                  <c:v>1.0577828891444669E-2</c:v>
                </c:pt>
                <c:pt idx="25">
                  <c:v>1.2705890278932324E-2</c:v>
                </c:pt>
                <c:pt idx="26">
                  <c:v>6.4512503742606923E-3</c:v>
                </c:pt>
                <c:pt idx="27">
                  <c:v>2.9460647720981458E-3</c:v>
                </c:pt>
                <c:pt idx="28">
                  <c:v>3.0754255001049576E-3</c:v>
                </c:pt>
                <c:pt idx="29">
                  <c:v>3.6317121799736849E-3</c:v>
                </c:pt>
                <c:pt idx="30">
                  <c:v>2.035685341860393E-3</c:v>
                </c:pt>
                <c:pt idx="31">
                  <c:v>2.8725354374332314E-3</c:v>
                </c:pt>
                <c:pt idx="32">
                  <c:v>3.7670453274498451E-3</c:v>
                </c:pt>
                <c:pt idx="33">
                  <c:v>4.2112709638453261E-3</c:v>
                </c:pt>
                <c:pt idx="34">
                  <c:v>4.3859804629998861E-3</c:v>
                </c:pt>
                <c:pt idx="35">
                  <c:v>4.1647340273107585E-3</c:v>
                </c:pt>
                <c:pt idx="36">
                  <c:v>1.4964463033456594E-3</c:v>
                </c:pt>
                <c:pt idx="37">
                  <c:v>2.0876514902589262E-3</c:v>
                </c:pt>
                <c:pt idx="38">
                  <c:v>5.3216719065997536E-3</c:v>
                </c:pt>
                <c:pt idx="39">
                  <c:v>4.2450640759217548E-3</c:v>
                </c:pt>
                <c:pt idx="40">
                  <c:v>3.3050009940736773E-3</c:v>
                </c:pt>
                <c:pt idx="41">
                  <c:v>1.5178485577612684E-3</c:v>
                </c:pt>
                <c:pt idx="42">
                  <c:v>1.8143829860217254E-3</c:v>
                </c:pt>
                <c:pt idx="43">
                  <c:v>-1.9182566351514998E-4</c:v>
                </c:pt>
                <c:pt idx="44">
                  <c:v>-1.7719294499982244E-3</c:v>
                </c:pt>
                <c:pt idx="45">
                  <c:v>-7.7513697043833547E-3</c:v>
                </c:pt>
                <c:pt idx="46">
                  <c:v>-7.9064535837991209E-3</c:v>
                </c:pt>
                <c:pt idx="47">
                  <c:v>-9.3754538433300592E-3</c:v>
                </c:pt>
                <c:pt idx="48">
                  <c:v>-9.9463087650766991E-3</c:v>
                </c:pt>
                <c:pt idx="49">
                  <c:v>-1.0142584774866159E-2</c:v>
                </c:pt>
                <c:pt idx="50">
                  <c:v>-9.8181066005305073E-3</c:v>
                </c:pt>
                <c:pt idx="51">
                  <c:v>-1.1964469145852828E-2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0-4C20-A7E4-80157DCFA58B}"/>
            </c:ext>
          </c:extLst>
        </c:ser>
        <c:ser>
          <c:idx val="1"/>
          <c:order val="1"/>
          <c:tx>
            <c:strRef>
              <c:f>'Backtest-GDPpot_opt2'!$U$1</c:f>
              <c:strCache>
                <c:ptCount val="1"/>
                <c:pt idx="0">
                  <c:v>Output gap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'Backtest-GDPpot_opt2'!$A$2:$A$53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'Backtest-GDPpot_opt2'!$U$2:$U$53</c:f>
              <c:numCache>
                <c:formatCode>0.00%</c:formatCode>
                <c:ptCount val="52"/>
                <c:pt idx="0">
                  <c:v>1.3000000000000001E-2</c:v>
                </c:pt>
                <c:pt idx="1">
                  <c:v>8.0000000000000002E-3</c:v>
                </c:pt>
                <c:pt idx="2">
                  <c:v>2.4E-2</c:v>
                </c:pt>
                <c:pt idx="3">
                  <c:v>2.6000000000000002E-2</c:v>
                </c:pt>
                <c:pt idx="4">
                  <c:v>-1E-3</c:v>
                </c:pt>
                <c:pt idx="5">
                  <c:v>1.6E-2</c:v>
                </c:pt>
                <c:pt idx="6">
                  <c:v>1.6E-2</c:v>
                </c:pt>
                <c:pt idx="7">
                  <c:v>0.02</c:v>
                </c:pt>
                <c:pt idx="8">
                  <c:v>1.8000000000000002E-2</c:v>
                </c:pt>
                <c:pt idx="9">
                  <c:v>9.0000000000000011E-3</c:v>
                </c:pt>
                <c:pt idx="10">
                  <c:v>-1.3000000000000001E-2</c:v>
                </c:pt>
                <c:pt idx="11">
                  <c:v>-3.4000000000000002E-2</c:v>
                </c:pt>
                <c:pt idx="12">
                  <c:v>-2.8999999999999998E-2</c:v>
                </c:pt>
                <c:pt idx="13">
                  <c:v>-1.2E-2</c:v>
                </c:pt>
                <c:pt idx="14">
                  <c:v>-4.0000000000000001E-3</c:v>
                </c:pt>
                <c:pt idx="15">
                  <c:v>3.0000000000000001E-3</c:v>
                </c:pt>
                <c:pt idx="16">
                  <c:v>0</c:v>
                </c:pt>
                <c:pt idx="17">
                  <c:v>6.9999999999999993E-3</c:v>
                </c:pt>
                <c:pt idx="18">
                  <c:v>2.1000000000000001E-2</c:v>
                </c:pt>
                <c:pt idx="19">
                  <c:v>3.2000000000000001E-2</c:v>
                </c:pt>
                <c:pt idx="20">
                  <c:v>2.4E-2</c:v>
                </c:pt>
                <c:pt idx="21">
                  <c:v>9.0000000000000011E-3</c:v>
                </c:pt>
                <c:pt idx="22">
                  <c:v>-0.01</c:v>
                </c:pt>
                <c:pt idx="23">
                  <c:v>-1.1000000000000001E-2</c:v>
                </c:pt>
                <c:pt idx="24">
                  <c:v>-1.3000000000000001E-2</c:v>
                </c:pt>
                <c:pt idx="25">
                  <c:v>-1.2E-2</c:v>
                </c:pt>
                <c:pt idx="26">
                  <c:v>-5.0000000000000001E-3</c:v>
                </c:pt>
                <c:pt idx="27">
                  <c:v>5.0000000000000001E-3</c:v>
                </c:pt>
                <c:pt idx="28">
                  <c:v>1.9E-2</c:v>
                </c:pt>
                <c:pt idx="29">
                  <c:v>2.7000000000000003E-2</c:v>
                </c:pt>
                <c:pt idx="30">
                  <c:v>1.9E-2</c:v>
                </c:pt>
                <c:pt idx="31">
                  <c:v>-4.0000000000000001E-3</c:v>
                </c:pt>
                <c:pt idx="32">
                  <c:v>-2.3E-2</c:v>
                </c:pt>
                <c:pt idx="33">
                  <c:v>-2.1000000000000001E-2</c:v>
                </c:pt>
                <c:pt idx="34">
                  <c:v>-1.6E-2</c:v>
                </c:pt>
                <c:pt idx="35">
                  <c:v>0</c:v>
                </c:pt>
                <c:pt idx="36">
                  <c:v>1.8000000000000002E-2</c:v>
                </c:pt>
                <c:pt idx="37">
                  <c:v>2.2000000000000002E-2</c:v>
                </c:pt>
                <c:pt idx="38">
                  <c:v>-2.6000000000000002E-2</c:v>
                </c:pt>
                <c:pt idx="39">
                  <c:v>-1.9E-2</c:v>
                </c:pt>
                <c:pt idx="40">
                  <c:v>-1.2E-2</c:v>
                </c:pt>
                <c:pt idx="41">
                  <c:v>-2.6000000000000002E-2</c:v>
                </c:pt>
                <c:pt idx="42">
                  <c:v>-3.1E-2</c:v>
                </c:pt>
                <c:pt idx="43">
                  <c:v>-2.2000000000000002E-2</c:v>
                </c:pt>
                <c:pt idx="44">
                  <c:v>-1.7000000000000001E-2</c:v>
                </c:pt>
                <c:pt idx="45">
                  <c:v>-8.0000000000000002E-3</c:v>
                </c:pt>
                <c:pt idx="46">
                  <c:v>6.0000000000000001E-3</c:v>
                </c:pt>
                <c:pt idx="47">
                  <c:v>1.3000000000000001E-2</c:v>
                </c:pt>
                <c:pt idx="48">
                  <c:v>1.3999999999999999E-2</c:v>
                </c:pt>
                <c:pt idx="49">
                  <c:v>-0.04</c:v>
                </c:pt>
                <c:pt idx="50">
                  <c:v>-0.01</c:v>
                </c:pt>
                <c:pt idx="51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0-4C20-A7E4-80157DCF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38616"/>
        <c:axId val="1302041164"/>
      </c:lineChart>
      <c:catAx>
        <c:axId val="51773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302041164"/>
        <c:crosses val="autoZero"/>
        <c:auto val="1"/>
        <c:lblAlgn val="ctr"/>
        <c:lblOffset val="100"/>
        <c:noMultiLvlLbl val="1"/>
      </c:catAx>
      <c:valAx>
        <c:axId val="1302041164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Structureel Primair Saldo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5177386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Gerealiseerd EMU saldo vs EMU saldo onder Schuld-stabiliserend saldo anker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Gerealiseerd EMU</c:v>
          </c:tx>
          <c:spPr>
            <a:solidFill>
              <a:schemeClr val="accent2">
                <a:alpha val="0"/>
              </a:schemeClr>
            </a:solidFill>
            <a:ln cmpd="sng">
              <a:solidFill>
                <a:schemeClr val="accent2"/>
              </a:solidFill>
            </a:ln>
          </c:spPr>
          <c:cat>
            <c:numRef>
              <c:f>'Backtest-GDPpot_opt2'!$A$2:$A$1000</c:f>
              <c:numCache>
                <c:formatCode>General</c:formatCode>
                <c:ptCount val="99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'Backtest-GDPpot_opt2'!$P$2:$P$1000</c:f>
              <c:numCache>
                <c:formatCode>0.00%</c:formatCode>
                <c:ptCount val="999"/>
                <c:pt idx="0">
                  <c:v>-1.38592E-2</c:v>
                </c:pt>
                <c:pt idx="1">
                  <c:v>-5.0928000000000015E-3</c:v>
                </c:pt>
                <c:pt idx="2">
                  <c:v>6.9895999999999986E-3</c:v>
                </c:pt>
                <c:pt idx="3">
                  <c:v>-1.2164000000000029E-3</c:v>
                </c:pt>
                <c:pt idx="4">
                  <c:v>-2.7728599999999999E-2</c:v>
                </c:pt>
                <c:pt idx="5">
                  <c:v>-1.9253600000000003E-2</c:v>
                </c:pt>
                <c:pt idx="6">
                  <c:v>-7.0530000000000002E-3</c:v>
                </c:pt>
                <c:pt idx="7">
                  <c:v>-2.1033400000000004E-2</c:v>
                </c:pt>
                <c:pt idx="8">
                  <c:v>-2.4820399999999999E-2</c:v>
                </c:pt>
                <c:pt idx="9">
                  <c:v>-3.9623499999999999E-2</c:v>
                </c:pt>
                <c:pt idx="10">
                  <c:v>-4.9766400000000002E-2</c:v>
                </c:pt>
                <c:pt idx="11">
                  <c:v>-6.4589000000000008E-2</c:v>
                </c:pt>
                <c:pt idx="12">
                  <c:v>-5.8486299999999998E-2</c:v>
                </c:pt>
                <c:pt idx="13">
                  <c:v>-5.3219600000000006E-2</c:v>
                </c:pt>
                <c:pt idx="14">
                  <c:v>-3.9452000000000001E-2</c:v>
                </c:pt>
                <c:pt idx="15">
                  <c:v>-4.5478499999999998E-2</c:v>
                </c:pt>
                <c:pt idx="16">
                  <c:v>-5.2773500000000001E-2</c:v>
                </c:pt>
                <c:pt idx="17">
                  <c:v>-4.1749600000000005E-2</c:v>
                </c:pt>
                <c:pt idx="18">
                  <c:v>-4.7273999999999997E-2</c:v>
                </c:pt>
                <c:pt idx="19">
                  <c:v>-5.0411999999999998E-2</c:v>
                </c:pt>
                <c:pt idx="20">
                  <c:v>-2.4956800000000008E-2</c:v>
                </c:pt>
                <c:pt idx="21">
                  <c:v>-3.9614799999999992E-2</c:v>
                </c:pt>
                <c:pt idx="22">
                  <c:v>-2.6850000000000002E-2</c:v>
                </c:pt>
                <c:pt idx="23">
                  <c:v>-3.1096000000000002E-2</c:v>
                </c:pt>
                <c:pt idx="24">
                  <c:v>-4.20092256431615E-2</c:v>
                </c:pt>
                <c:pt idx="25">
                  <c:v>-1.3117390020840995E-2</c:v>
                </c:pt>
                <c:pt idx="26">
                  <c:v>1.3397645526406234E-2</c:v>
                </c:pt>
                <c:pt idx="27">
                  <c:v>-9.661456128600138E-3</c:v>
                </c:pt>
                <c:pt idx="28">
                  <c:v>5.5901225334374447E-3</c:v>
                </c:pt>
                <c:pt idx="29">
                  <c:v>2.7211884161309177E-2</c:v>
                </c:pt>
                <c:pt idx="30">
                  <c:v>-4.4394838143696777E-3</c:v>
                </c:pt>
                <c:pt idx="31">
                  <c:v>-1.1628003508771934E-2</c:v>
                </c:pt>
                <c:pt idx="32">
                  <c:v>-2.2641005683222137E-2</c:v>
                </c:pt>
                <c:pt idx="33">
                  <c:v>-1.8721166886096145E-2</c:v>
                </c:pt>
                <c:pt idx="34">
                  <c:v>-1.4707833252882808E-2</c:v>
                </c:pt>
                <c:pt idx="35">
                  <c:v>2.0093155813701791E-2</c:v>
                </c:pt>
                <c:pt idx="36">
                  <c:v>-2.4738815890252412E-3</c:v>
                </c:pt>
                <c:pt idx="37">
                  <c:v>-0.14855456277369886</c:v>
                </c:pt>
                <c:pt idx="38">
                  <c:v>8.377775138345353E-4</c:v>
                </c:pt>
                <c:pt idx="39">
                  <c:v>-3.7497687083835399E-2</c:v>
                </c:pt>
                <c:pt idx="40">
                  <c:v>-3.4839282352941182E-2</c:v>
                </c:pt>
                <c:pt idx="41">
                  <c:v>-4.9367077714248794E-2</c:v>
                </c:pt>
                <c:pt idx="42">
                  <c:v>-2.2076251787538304E-2</c:v>
                </c:pt>
                <c:pt idx="43">
                  <c:v>-1.2697698405624258E-2</c:v>
                </c:pt>
                <c:pt idx="44">
                  <c:v>1.6535180292438723E-2</c:v>
                </c:pt>
                <c:pt idx="45">
                  <c:v>1.1757429328023301E-2</c:v>
                </c:pt>
                <c:pt idx="46">
                  <c:v>2.5829441963903858E-2</c:v>
                </c:pt>
                <c:pt idx="47">
                  <c:v>1.9733609500632198E-2</c:v>
                </c:pt>
                <c:pt idx="48">
                  <c:v>1.4019841151730831E-2</c:v>
                </c:pt>
                <c:pt idx="49">
                  <c:v>-5.2575694658598307E-2</c:v>
                </c:pt>
                <c:pt idx="50">
                  <c:v>-1.8211293010406068E-2</c:v>
                </c:pt>
                <c:pt idx="51">
                  <c:v>-1.05632E-2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A-4839-B813-54C22433648D}"/>
            </c:ext>
          </c:extLst>
        </c:ser>
        <c:ser>
          <c:idx val="1"/>
          <c:order val="1"/>
          <c:tx>
            <c:v>EMU saldo met schuld-stabiliserend anker</c:v>
          </c:tx>
          <c:spPr>
            <a:solidFill>
              <a:schemeClr val="accent1">
                <a:alpha val="30000"/>
              </a:schemeClr>
            </a:solidFill>
            <a:ln cmpd="sng">
              <a:solidFill>
                <a:schemeClr val="accent1"/>
              </a:solidFill>
            </a:ln>
          </c:spPr>
          <c:cat>
            <c:numRef>
              <c:f>'Backtest-GDPpot_opt2'!$A$2:$A$1000</c:f>
              <c:numCache>
                <c:formatCode>General</c:formatCode>
                <c:ptCount val="99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'Backtest-GDPpot_opt2'!$AO$2:$AO$53</c:f>
              <c:numCache>
                <c:formatCode>0.00%</c:formatCode>
                <c:ptCount val="52"/>
                <c:pt idx="0">
                  <c:v>1.38592E-2</c:v>
                </c:pt>
                <c:pt idx="1">
                  <c:v>-5.7235454826778324E-2</c:v>
                </c:pt>
                <c:pt idx="2">
                  <c:v>-7.6789618145418972E-2</c:v>
                </c:pt>
                <c:pt idx="3">
                  <c:v>-6.8566158356577159E-2</c:v>
                </c:pt>
                <c:pt idx="4">
                  <c:v>-3.4611363282734724E-2</c:v>
                </c:pt>
                <c:pt idx="5">
                  <c:v>-4.9751956835654511E-2</c:v>
                </c:pt>
                <c:pt idx="6">
                  <c:v>-5.3438641877432483E-2</c:v>
                </c:pt>
                <c:pt idx="7">
                  <c:v>-4.0510681659222281E-2</c:v>
                </c:pt>
                <c:pt idx="8">
                  <c:v>-3.6607873487162192E-2</c:v>
                </c:pt>
                <c:pt idx="9">
                  <c:v>-2.5734283911441787E-2</c:v>
                </c:pt>
                <c:pt idx="10">
                  <c:v>-1.1248914752891602E-2</c:v>
                </c:pt>
                <c:pt idx="11">
                  <c:v>6.2449582653852295E-3</c:v>
                </c:pt>
                <c:pt idx="12">
                  <c:v>-1.7973667980409273E-2</c:v>
                </c:pt>
                <c:pt idx="13">
                  <c:v>-1.5572444475796116E-2</c:v>
                </c:pt>
                <c:pt idx="14">
                  <c:v>-5.1620963658284655E-2</c:v>
                </c:pt>
                <c:pt idx="15">
                  <c:v>7.8410038822869163E-3</c:v>
                </c:pt>
                <c:pt idx="16">
                  <c:v>2.9389034562693674E-2</c:v>
                </c:pt>
                <c:pt idx="17">
                  <c:v>-1.8336049455322197E-2</c:v>
                </c:pt>
                <c:pt idx="18">
                  <c:v>1.025210330961962E-2</c:v>
                </c:pt>
                <c:pt idx="19">
                  <c:v>9.9682805823051168E-3</c:v>
                </c:pt>
                <c:pt idx="20">
                  <c:v>-2.7267634604129322E-2</c:v>
                </c:pt>
                <c:pt idx="21">
                  <c:v>-4.4376712052329667E-3</c:v>
                </c:pt>
                <c:pt idx="22">
                  <c:v>-2.3751949806561378E-2</c:v>
                </c:pt>
                <c:pt idx="23">
                  <c:v>1.9234606749169103E-2</c:v>
                </c:pt>
                <c:pt idx="24">
                  <c:v>2.966705453460617E-2</c:v>
                </c:pt>
                <c:pt idx="25">
                  <c:v>3.9556080299773318E-2</c:v>
                </c:pt>
                <c:pt idx="26">
                  <c:v>-6.7808195152145548E-2</c:v>
                </c:pt>
                <c:pt idx="27">
                  <c:v>-7.2704790993017177E-3</c:v>
                </c:pt>
                <c:pt idx="28">
                  <c:v>-3.8849997033332487E-2</c:v>
                </c:pt>
                <c:pt idx="29">
                  <c:v>-6.2864371981335487E-2</c:v>
                </c:pt>
                <c:pt idx="30">
                  <c:v>-1.0848830843769926E-2</c:v>
                </c:pt>
                <c:pt idx="31">
                  <c:v>-8.7856105379483657E-4</c:v>
                </c:pt>
                <c:pt idx="32">
                  <c:v>1.2158051010671982E-2</c:v>
                </c:pt>
                <c:pt idx="33">
                  <c:v>-4.0676215005852612E-4</c:v>
                </c:pt>
                <c:pt idx="34">
                  <c:v>-1.2369986284117306E-2</c:v>
                </c:pt>
                <c:pt idx="35">
                  <c:v>-5.423442178639104E-2</c:v>
                </c:pt>
                <c:pt idx="36">
                  <c:v>5.2653278923709013E-3</c:v>
                </c:pt>
                <c:pt idx="37">
                  <c:v>0.12465971426395778</c:v>
                </c:pt>
                <c:pt idx="38">
                  <c:v>-0.11664570560723478</c:v>
                </c:pt>
                <c:pt idx="39">
                  <c:v>4.3122551159757161E-2</c:v>
                </c:pt>
                <c:pt idx="40">
                  <c:v>3.9510883347014858E-2</c:v>
                </c:pt>
                <c:pt idx="41">
                  <c:v>5.2878526272010062E-2</c:v>
                </c:pt>
                <c:pt idx="42">
                  <c:v>-2.0188652264399726E-3</c:v>
                </c:pt>
                <c:pt idx="43">
                  <c:v>-2.2284272578908942E-3</c:v>
                </c:pt>
                <c:pt idx="44">
                  <c:v>-3.0710309742436943E-2</c:v>
                </c:pt>
                <c:pt idx="45">
                  <c:v>9.4730009675933428E-3</c:v>
                </c:pt>
                <c:pt idx="46">
                  <c:v>-4.2969895547702974E-2</c:v>
                </c:pt>
                <c:pt idx="47">
                  <c:v>-2.7335863343962256E-2</c:v>
                </c:pt>
                <c:pt idx="48">
                  <c:v>-3.1047149916807529E-2</c:v>
                </c:pt>
                <c:pt idx="49">
                  <c:v>6.477510988373214E-2</c:v>
                </c:pt>
                <c:pt idx="50">
                  <c:v>2.9435864098755621E-3</c:v>
                </c:pt>
                <c:pt idx="51">
                  <c:v>-5.9644691458528281E-3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A-4839-B813-54C224336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38716"/>
        <c:axId val="537135816"/>
      </c:areaChart>
      <c:catAx>
        <c:axId val="1319838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537135816"/>
        <c:crosses val="autoZero"/>
        <c:auto val="1"/>
        <c:lblAlgn val="ctr"/>
        <c:lblOffset val="100"/>
        <c:noMultiLvlLbl val="1"/>
      </c:catAx>
      <c:valAx>
        <c:axId val="537135816"/>
        <c:scaling>
          <c:orientation val="minMax"/>
          <c:max val="0.0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EMU Saldo 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31983871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'Backtest-GDPpot_opt2'!$F$1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'Backtest-GDPpot_opt2'!$A$2:$A$52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'Backtest-GDPpot_opt2'!$F$2:$F$52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0-4C1C-A165-5B0C77A38984}"/>
            </c:ext>
          </c:extLst>
        </c:ser>
        <c:ser>
          <c:idx val="1"/>
          <c:order val="1"/>
          <c:tx>
            <c:strRef>
              <c:f>'Backtest-GDPpot_opt2'!$G$1</c:f>
              <c:strCache>
                <c:ptCount val="1"/>
                <c:pt idx="0">
                  <c:v>Real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'Backtest-GDPpot_opt2'!$A$2:$A$52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'Backtest-GDPpot_opt2'!$G$2:$G$52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0-4C1C-A165-5B0C77A38984}"/>
            </c:ext>
          </c:extLst>
        </c:ser>
        <c:ser>
          <c:idx val="2"/>
          <c:order val="2"/>
          <c:tx>
            <c:strRef>
              <c:f>'Backtest-GDPpot_opt2'!$Q$1</c:f>
              <c:strCache>
                <c:ptCount val="1"/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'Backtest-GDPpot_opt2'!$A$2:$A$52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'Backtest-GDPpot_opt2'!$Q$2:$Q$52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0-4C1C-A165-5B0C77A38984}"/>
            </c:ext>
          </c:extLst>
        </c:ser>
        <c:ser>
          <c:idx val="3"/>
          <c:order val="3"/>
          <c:tx>
            <c:strRef>
              <c:f>'Backtest-GDPpot_opt2'!$R$1</c:f>
              <c:strCache>
                <c:ptCount val="1"/>
                <c:pt idx="0">
                  <c:v>Sim inputs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'Backtest-GDPpot_opt2'!$A$2:$A$52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'Backtest-GDPpot_opt2'!$R$2:$R$52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0-4C1C-A165-5B0C77A3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2594"/>
        <c:axId val="2047034653"/>
      </c:lineChart>
      <c:catAx>
        <c:axId val="154612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047034653"/>
        <c:crosses val="autoZero"/>
        <c:auto val="1"/>
        <c:lblAlgn val="ctr"/>
        <c:lblOffset val="100"/>
        <c:noMultiLvlLbl val="1"/>
      </c:catAx>
      <c:valAx>
        <c:axId val="2047034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546125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Schuldneutraal saldo was een stabiel anker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Schuldneutraal Saldo</c:v>
          </c:tx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'SBR Advies'!$A$2:$A$9</c:f>
              <c:numCache>
                <c:formatCode>General</c:formatCode>
                <c:ptCount val="8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Advies'!$Q$2:$Q$11</c:f>
              <c:numCache>
                <c:formatCode>0.00%</c:formatCode>
                <c:ptCount val="10"/>
                <c:pt idx="0">
                  <c:v>2.9460647720981458E-3</c:v>
                </c:pt>
                <c:pt idx="1">
                  <c:v>3.6317121799736849E-3</c:v>
                </c:pt>
                <c:pt idx="2">
                  <c:v>3.7670453274498451E-3</c:v>
                </c:pt>
                <c:pt idx="3">
                  <c:v>1.4964463033456594E-3</c:v>
                </c:pt>
                <c:pt idx="4">
                  <c:v>4.2450640759217548E-3</c:v>
                </c:pt>
                <c:pt idx="5">
                  <c:v>1.5178485577612684E-3</c:v>
                </c:pt>
                <c:pt idx="6">
                  <c:v>-7.9064535837991209E-3</c:v>
                </c:pt>
                <c:pt idx="7">
                  <c:v>-9.8181066005305073E-3</c:v>
                </c:pt>
                <c:pt idx="9">
                  <c:v>-1.34E-2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3-4387-88D9-23EBA300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72568"/>
        <c:axId val="1189176375"/>
      </c:lineChart>
      <c:lineChart>
        <c:grouping val="standard"/>
        <c:varyColors val="0"/>
        <c:ser>
          <c:idx val="0"/>
          <c:order val="0"/>
          <c:tx>
            <c:v>Conjunctuur</c:v>
          </c:tx>
          <c:spPr>
            <a:ln cmpd="sng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numRef>
              <c:f>'SBR Advies'!$A$2:$A$9</c:f>
              <c:numCache>
                <c:formatCode>General</c:formatCode>
                <c:ptCount val="8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Advies'!$J$2:$J$9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2.7000000000000003E-2</c:v>
                </c:pt>
                <c:pt idx="2">
                  <c:v>-2.3E-2</c:v>
                </c:pt>
                <c:pt idx="3">
                  <c:v>1.8000000000000002E-2</c:v>
                </c:pt>
                <c:pt idx="4">
                  <c:v>-1.9E-2</c:v>
                </c:pt>
                <c:pt idx="5">
                  <c:v>-2.6000000000000002E-2</c:v>
                </c:pt>
                <c:pt idx="6">
                  <c:v>6.0000000000000001E-3</c:v>
                </c:pt>
                <c:pt idx="7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3-4387-88D9-23EBA300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674213"/>
        <c:axId val="742348987"/>
      </c:lineChart>
      <c:catAx>
        <c:axId val="49917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189176375"/>
        <c:crosses val="autoZero"/>
        <c:auto val="1"/>
        <c:lblAlgn val="ctr"/>
        <c:lblOffset val="100"/>
        <c:noMultiLvlLbl val="1"/>
      </c:catAx>
      <c:valAx>
        <c:axId val="1189176375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Strucvtureel Primair Saldo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499172568"/>
        <c:crosses val="autoZero"/>
        <c:crossBetween val="between"/>
      </c:valAx>
      <c:catAx>
        <c:axId val="174867421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2348987"/>
        <c:crosses val="autoZero"/>
        <c:auto val="1"/>
        <c:lblAlgn val="ctr"/>
        <c:lblOffset val="100"/>
        <c:noMultiLvlLbl val="1"/>
      </c:catAx>
      <c:valAx>
        <c:axId val="742348987"/>
        <c:scaling>
          <c:orientation val="minMax"/>
          <c:max val="0.0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Output Gap in % BBP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74867421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Gerealiseerd EMU saldo vs EMU saldo onder Schuld-stabiliserend saldo anker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EMU saldo met schuld-stabiliserend anker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'Backtest-GDPpot_opt2'!$A$2:$A$1000</c:f>
              <c:numCache>
                <c:formatCode>General</c:formatCode>
                <c:ptCount val="99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'Backtest-GDPpot_opt2'!$AD$2:$AD$1000</c:f>
              <c:numCache>
                <c:formatCode>0.00%</c:formatCode>
                <c:ptCount val="999"/>
                <c:pt idx="0">
                  <c:v>-3.1094654826778326E-2</c:v>
                </c:pt>
                <c:pt idx="1">
                  <c:v>-3.478215599512554E-2</c:v>
                </c:pt>
                <c:pt idx="2">
                  <c:v>-1.6020023059596065E-2</c:v>
                </c:pt>
                <c:pt idx="3">
                  <c:v>-1.545991663016574E-2</c:v>
                </c:pt>
                <c:pt idx="4">
                  <c:v>-4.4434948220386808E-2</c:v>
                </c:pt>
                <c:pt idx="5">
                  <c:v>-2.5451551494506851E-2</c:v>
                </c:pt>
                <c:pt idx="6">
                  <c:v>-2.014403077575105E-2</c:v>
                </c:pt>
                <c:pt idx="7">
                  <c:v>-1.679688893232438E-2</c:v>
                </c:pt>
                <c:pt idx="8">
                  <c:v>-1.8822368284549851E-2</c:v>
                </c:pt>
                <c:pt idx="9">
                  <c:v>-2.9989804688281507E-2</c:v>
                </c:pt>
                <c:pt idx="10">
                  <c:v>-5.222186132296254E-2</c:v>
                </c:pt>
                <c:pt idx="11">
                  <c:v>-7.2213986012804182E-2</c:v>
                </c:pt>
                <c:pt idx="12">
                  <c:v>-7.1375001817474609E-2</c:v>
                </c:pt>
                <c:pt idx="13">
                  <c:v>-5.4557264423951743E-2</c:v>
                </c:pt>
                <c:pt idx="14">
                  <c:v>-4.8875707389741944E-2</c:v>
                </c:pt>
                <c:pt idx="15">
                  <c:v>-2.5472111599474483E-2</c:v>
                </c:pt>
                <c:pt idx="16">
                  <c:v>-2.8300222025248064E-2</c:v>
                </c:pt>
                <c:pt idx="17">
                  <c:v>-1.8805673405962103E-2</c:v>
                </c:pt>
                <c:pt idx="18">
                  <c:v>-4.4390534698671089E-3</c:v>
                </c:pt>
                <c:pt idx="19">
                  <c:v>8.6611892220587877E-3</c:v>
                </c:pt>
                <c:pt idx="20">
                  <c:v>1.4295188314907975E-3</c:v>
                </c:pt>
                <c:pt idx="21">
                  <c:v>-1.4546091181177438E-2</c:v>
                </c:pt>
                <c:pt idx="22">
                  <c:v>-3.3663093898032681E-2</c:v>
                </c:pt>
                <c:pt idx="23">
                  <c:v>-3.269632065331525E-2</c:v>
                </c:pt>
                <c:pt idx="24">
                  <c:v>1.0623666789502918E-2</c:v>
                </c:pt>
                <c:pt idx="25">
                  <c:v>-2.6279702583129793E-2</c:v>
                </c:pt>
                <c:pt idx="26">
                  <c:v>5.8017383545031012E-3</c:v>
                </c:pt>
                <c:pt idx="27">
                  <c:v>-1.6897008679356861E-2</c:v>
                </c:pt>
                <c:pt idx="28">
                  <c:v>-2.3363345010661164E-3</c:v>
                </c:pt>
                <c:pt idx="29">
                  <c:v>2.1418188386062329E-2</c:v>
                </c:pt>
                <c:pt idx="30">
                  <c:v>1.7071023408689213E-3</c:v>
                </c:pt>
                <c:pt idx="31">
                  <c:v>-1.0371679179214664E-2</c:v>
                </c:pt>
                <c:pt idx="32">
                  <c:v>-2.8068614798525841E-2</c:v>
                </c:pt>
                <c:pt idx="33">
                  <c:v>-3.603683042179312E-2</c:v>
                </c:pt>
                <c:pt idx="34">
                  <c:v>-4.0321375653089957E-2</c:v>
                </c:pt>
                <c:pt idx="35">
                  <c:v>7.4233078086399645E-3</c:v>
                </c:pt>
                <c:pt idx="36">
                  <c:v>3.640306106969297E-3</c:v>
                </c:pt>
                <c:pt idx="37">
                  <c:v>-0.14242509387443908</c:v>
                </c:pt>
                <c:pt idx="38">
                  <c:v>1.2103542256619422E-2</c:v>
                </c:pt>
                <c:pt idx="39">
                  <c:v>-1.3203683768437707E-2</c:v>
                </c:pt>
                <c:pt idx="40">
                  <c:v>-1.2200400338826982E-2</c:v>
                </c:pt>
                <c:pt idx="41">
                  <c:v>-4.7433317606199843E-2</c:v>
                </c:pt>
                <c:pt idx="42">
                  <c:v>-3.4521615142876647E-2</c:v>
                </c:pt>
                <c:pt idx="43">
                  <c:v>-2.2748499192716043E-2</c:v>
                </c:pt>
                <c:pt idx="44">
                  <c:v>9.4695764329817481E-3</c:v>
                </c:pt>
                <c:pt idx="45">
                  <c:v>-6.0262947872482767E-3</c:v>
                </c:pt>
                <c:pt idx="46">
                  <c:v>4.1101821260476398E-3</c:v>
                </c:pt>
                <c:pt idx="47">
                  <c:v>4.3661731926155165E-3</c:v>
                </c:pt>
                <c:pt idx="48">
                  <c:v>-2.3972634683065716E-3</c:v>
                </c:pt>
                <c:pt idx="49">
                  <c:v>-6.722692535143468E-2</c:v>
                </c:pt>
                <c:pt idx="50">
                  <c:v>-1.7106617651003509E-2</c:v>
                </c:pt>
                <c:pt idx="51">
                  <c:v>-1.7852098500724736E-3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C-410E-B63D-5816B9244B3E}"/>
            </c:ext>
          </c:extLst>
        </c:ser>
        <c:ser>
          <c:idx val="1"/>
          <c:order val="1"/>
          <c:tx>
            <c:v>EMU saldo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'Backtest-GDPpot_opt2'!$A$2:$A$1000</c:f>
              <c:numCache>
                <c:formatCode>General</c:formatCode>
                <c:ptCount val="99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'Backtest-GDPpot_opt2'!$P$2:$P$1000</c:f>
              <c:numCache>
                <c:formatCode>0.00%</c:formatCode>
                <c:ptCount val="999"/>
                <c:pt idx="0">
                  <c:v>-1.38592E-2</c:v>
                </c:pt>
                <c:pt idx="1">
                  <c:v>-5.0928000000000015E-3</c:v>
                </c:pt>
                <c:pt idx="2">
                  <c:v>6.9895999999999986E-3</c:v>
                </c:pt>
                <c:pt idx="3">
                  <c:v>-1.2164000000000029E-3</c:v>
                </c:pt>
                <c:pt idx="4">
                  <c:v>-2.7728599999999999E-2</c:v>
                </c:pt>
                <c:pt idx="5">
                  <c:v>-1.9253600000000003E-2</c:v>
                </c:pt>
                <c:pt idx="6">
                  <c:v>-7.0530000000000002E-3</c:v>
                </c:pt>
                <c:pt idx="7">
                  <c:v>-2.1033400000000004E-2</c:v>
                </c:pt>
                <c:pt idx="8">
                  <c:v>-2.4820399999999999E-2</c:v>
                </c:pt>
                <c:pt idx="9">
                  <c:v>-3.9623499999999999E-2</c:v>
                </c:pt>
                <c:pt idx="10">
                  <c:v>-4.9766400000000002E-2</c:v>
                </c:pt>
                <c:pt idx="11">
                  <c:v>-6.4589000000000008E-2</c:v>
                </c:pt>
                <c:pt idx="12">
                  <c:v>-5.8486299999999998E-2</c:v>
                </c:pt>
                <c:pt idx="13">
                  <c:v>-5.3219600000000006E-2</c:v>
                </c:pt>
                <c:pt idx="14">
                  <c:v>-3.9452000000000001E-2</c:v>
                </c:pt>
                <c:pt idx="15">
                  <c:v>-4.5478499999999998E-2</c:v>
                </c:pt>
                <c:pt idx="16">
                  <c:v>-5.2773500000000001E-2</c:v>
                </c:pt>
                <c:pt idx="17">
                  <c:v>-4.1749600000000005E-2</c:v>
                </c:pt>
                <c:pt idx="18">
                  <c:v>-4.7273999999999997E-2</c:v>
                </c:pt>
                <c:pt idx="19">
                  <c:v>-5.0411999999999998E-2</c:v>
                </c:pt>
                <c:pt idx="20">
                  <c:v>-2.4956800000000008E-2</c:v>
                </c:pt>
                <c:pt idx="21">
                  <c:v>-3.9614799999999992E-2</c:v>
                </c:pt>
                <c:pt idx="22">
                  <c:v>-2.6850000000000002E-2</c:v>
                </c:pt>
                <c:pt idx="23">
                  <c:v>-3.1096000000000002E-2</c:v>
                </c:pt>
                <c:pt idx="24">
                  <c:v>-4.20092256431615E-2</c:v>
                </c:pt>
                <c:pt idx="25">
                  <c:v>-1.3117390020840995E-2</c:v>
                </c:pt>
                <c:pt idx="26">
                  <c:v>1.3397645526406234E-2</c:v>
                </c:pt>
                <c:pt idx="27">
                  <c:v>-9.661456128600138E-3</c:v>
                </c:pt>
                <c:pt idx="28">
                  <c:v>5.5901225334374447E-3</c:v>
                </c:pt>
                <c:pt idx="29">
                  <c:v>2.7211884161309177E-2</c:v>
                </c:pt>
                <c:pt idx="30">
                  <c:v>-4.4394838143696777E-3</c:v>
                </c:pt>
                <c:pt idx="31">
                  <c:v>-1.1628003508771934E-2</c:v>
                </c:pt>
                <c:pt idx="32">
                  <c:v>-2.2641005683222137E-2</c:v>
                </c:pt>
                <c:pt idx="33">
                  <c:v>-1.8721166886096145E-2</c:v>
                </c:pt>
                <c:pt idx="34">
                  <c:v>-1.4707833252882808E-2</c:v>
                </c:pt>
                <c:pt idx="35">
                  <c:v>2.0093155813701791E-2</c:v>
                </c:pt>
                <c:pt idx="36">
                  <c:v>-2.4738815890252412E-3</c:v>
                </c:pt>
                <c:pt idx="37">
                  <c:v>-0.14855456277369886</c:v>
                </c:pt>
                <c:pt idx="38">
                  <c:v>8.377775138345353E-4</c:v>
                </c:pt>
                <c:pt idx="39">
                  <c:v>-3.7497687083835399E-2</c:v>
                </c:pt>
                <c:pt idx="40">
                  <c:v>-3.4839282352941182E-2</c:v>
                </c:pt>
                <c:pt idx="41">
                  <c:v>-4.9367077714248794E-2</c:v>
                </c:pt>
                <c:pt idx="42">
                  <c:v>-2.2076251787538304E-2</c:v>
                </c:pt>
                <c:pt idx="43">
                  <c:v>-1.2697698405624258E-2</c:v>
                </c:pt>
                <c:pt idx="44">
                  <c:v>1.6535180292438723E-2</c:v>
                </c:pt>
                <c:pt idx="45">
                  <c:v>1.1757429328023301E-2</c:v>
                </c:pt>
                <c:pt idx="46">
                  <c:v>2.5829441963903858E-2</c:v>
                </c:pt>
                <c:pt idx="47">
                  <c:v>1.9733609500632198E-2</c:v>
                </c:pt>
                <c:pt idx="48">
                  <c:v>1.4019841151730831E-2</c:v>
                </c:pt>
                <c:pt idx="49">
                  <c:v>-5.2575694658598307E-2</c:v>
                </c:pt>
                <c:pt idx="50">
                  <c:v>-1.8211293010406068E-2</c:v>
                </c:pt>
                <c:pt idx="51">
                  <c:v>-1.05632E-2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C-410E-B63D-5816B924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793193"/>
        <c:axId val="190588457"/>
      </c:lineChart>
      <c:catAx>
        <c:axId val="1554793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90588457"/>
        <c:crosses val="autoZero"/>
        <c:auto val="1"/>
        <c:lblAlgn val="ctr"/>
        <c:lblOffset val="100"/>
        <c:noMultiLvlLbl val="1"/>
      </c:catAx>
      <c:valAx>
        <c:axId val="190588457"/>
        <c:scaling>
          <c:orientation val="minMax"/>
          <c:max val="0.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EMU Saldo 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5547931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diff_sim_real-emu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'Backtest-GDPpot_opt2'!$AO$1</c:f>
              <c:strCache>
                <c:ptCount val="1"/>
                <c:pt idx="0">
                  <c:v>diff_sim_real-emu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'Backtest-GDPpot_opt2'!$A$2:$A$53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'Backtest-GDPpot_opt2'!$AO$2:$AO$53</c:f>
              <c:numCache>
                <c:formatCode>0.00%</c:formatCode>
                <c:ptCount val="52"/>
                <c:pt idx="0">
                  <c:v>1.38592E-2</c:v>
                </c:pt>
                <c:pt idx="1">
                  <c:v>-5.7235454826778324E-2</c:v>
                </c:pt>
                <c:pt idx="2">
                  <c:v>-7.6789618145418972E-2</c:v>
                </c:pt>
                <c:pt idx="3">
                  <c:v>-6.8566158356577159E-2</c:v>
                </c:pt>
                <c:pt idx="4">
                  <c:v>-3.4611363282734724E-2</c:v>
                </c:pt>
                <c:pt idx="5">
                  <c:v>-4.9751956835654511E-2</c:v>
                </c:pt>
                <c:pt idx="6">
                  <c:v>-5.3438641877432483E-2</c:v>
                </c:pt>
                <c:pt idx="7">
                  <c:v>-4.0510681659222281E-2</c:v>
                </c:pt>
                <c:pt idx="8">
                  <c:v>-3.6607873487162192E-2</c:v>
                </c:pt>
                <c:pt idx="9">
                  <c:v>-2.5734283911441787E-2</c:v>
                </c:pt>
                <c:pt idx="10">
                  <c:v>-1.1248914752891602E-2</c:v>
                </c:pt>
                <c:pt idx="11">
                  <c:v>6.2449582653852295E-3</c:v>
                </c:pt>
                <c:pt idx="12">
                  <c:v>-1.7973667980409273E-2</c:v>
                </c:pt>
                <c:pt idx="13">
                  <c:v>-1.5572444475796116E-2</c:v>
                </c:pt>
                <c:pt idx="14">
                  <c:v>-5.1620963658284655E-2</c:v>
                </c:pt>
                <c:pt idx="15">
                  <c:v>7.8410038822869163E-3</c:v>
                </c:pt>
                <c:pt idx="16">
                  <c:v>2.9389034562693674E-2</c:v>
                </c:pt>
                <c:pt idx="17">
                  <c:v>-1.8336049455322197E-2</c:v>
                </c:pt>
                <c:pt idx="18">
                  <c:v>1.025210330961962E-2</c:v>
                </c:pt>
                <c:pt idx="19">
                  <c:v>9.9682805823051168E-3</c:v>
                </c:pt>
                <c:pt idx="20">
                  <c:v>-2.7267634604129322E-2</c:v>
                </c:pt>
                <c:pt idx="21">
                  <c:v>-4.4376712052329667E-3</c:v>
                </c:pt>
                <c:pt idx="22">
                  <c:v>-2.3751949806561378E-2</c:v>
                </c:pt>
                <c:pt idx="23">
                  <c:v>1.9234606749169103E-2</c:v>
                </c:pt>
                <c:pt idx="24">
                  <c:v>2.966705453460617E-2</c:v>
                </c:pt>
                <c:pt idx="25">
                  <c:v>3.9556080299773318E-2</c:v>
                </c:pt>
                <c:pt idx="26">
                  <c:v>-6.7808195152145548E-2</c:v>
                </c:pt>
                <c:pt idx="27">
                  <c:v>-7.2704790993017177E-3</c:v>
                </c:pt>
                <c:pt idx="28">
                  <c:v>-3.8849997033332487E-2</c:v>
                </c:pt>
                <c:pt idx="29">
                  <c:v>-6.2864371981335487E-2</c:v>
                </c:pt>
                <c:pt idx="30">
                  <c:v>-1.0848830843769926E-2</c:v>
                </c:pt>
                <c:pt idx="31">
                  <c:v>-8.7856105379483657E-4</c:v>
                </c:pt>
                <c:pt idx="32">
                  <c:v>1.2158051010671982E-2</c:v>
                </c:pt>
                <c:pt idx="33">
                  <c:v>-4.0676215005852612E-4</c:v>
                </c:pt>
                <c:pt idx="34">
                  <c:v>-1.2369986284117306E-2</c:v>
                </c:pt>
                <c:pt idx="35">
                  <c:v>-5.423442178639104E-2</c:v>
                </c:pt>
                <c:pt idx="36">
                  <c:v>5.2653278923709013E-3</c:v>
                </c:pt>
                <c:pt idx="37">
                  <c:v>0.12465971426395778</c:v>
                </c:pt>
                <c:pt idx="38">
                  <c:v>-0.11664570560723478</c:v>
                </c:pt>
                <c:pt idx="39">
                  <c:v>4.3122551159757161E-2</c:v>
                </c:pt>
                <c:pt idx="40">
                  <c:v>3.9510883347014858E-2</c:v>
                </c:pt>
                <c:pt idx="41">
                  <c:v>5.2878526272010062E-2</c:v>
                </c:pt>
                <c:pt idx="42">
                  <c:v>-2.0188652264399726E-3</c:v>
                </c:pt>
                <c:pt idx="43">
                  <c:v>-2.2284272578908942E-3</c:v>
                </c:pt>
                <c:pt idx="44">
                  <c:v>-3.0710309742436943E-2</c:v>
                </c:pt>
                <c:pt idx="45">
                  <c:v>9.4730009675933428E-3</c:v>
                </c:pt>
                <c:pt idx="46">
                  <c:v>-4.2969895547702974E-2</c:v>
                </c:pt>
                <c:pt idx="47">
                  <c:v>-2.7335863343962256E-2</c:v>
                </c:pt>
                <c:pt idx="48">
                  <c:v>-3.1047149916807529E-2</c:v>
                </c:pt>
                <c:pt idx="49">
                  <c:v>6.477510988373214E-2</c:v>
                </c:pt>
                <c:pt idx="50">
                  <c:v>2.9435864098755621E-3</c:v>
                </c:pt>
                <c:pt idx="51">
                  <c:v>-5.9644691458528281E-3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0-4BC7-B3F7-53F7797D2EAE}"/>
            </c:ext>
          </c:extLst>
        </c:ser>
        <c:ser>
          <c:idx val="1"/>
          <c:order val="1"/>
          <c:tx>
            <c:strRef>
              <c:f>'Backtest-GDPpot_opt2'!$U$1</c:f>
              <c:strCache>
                <c:ptCount val="1"/>
                <c:pt idx="0">
                  <c:v>Output gap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'Backtest-GDPpot_opt2'!$A$2:$A$53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'Backtest-GDPpot_opt2'!$U$2:$U$53</c:f>
              <c:numCache>
                <c:formatCode>0.00%</c:formatCode>
                <c:ptCount val="52"/>
                <c:pt idx="0">
                  <c:v>1.3000000000000001E-2</c:v>
                </c:pt>
                <c:pt idx="1">
                  <c:v>8.0000000000000002E-3</c:v>
                </c:pt>
                <c:pt idx="2">
                  <c:v>2.4E-2</c:v>
                </c:pt>
                <c:pt idx="3">
                  <c:v>2.6000000000000002E-2</c:v>
                </c:pt>
                <c:pt idx="4">
                  <c:v>-1E-3</c:v>
                </c:pt>
                <c:pt idx="5">
                  <c:v>1.6E-2</c:v>
                </c:pt>
                <c:pt idx="6">
                  <c:v>1.6E-2</c:v>
                </c:pt>
                <c:pt idx="7">
                  <c:v>0.02</c:v>
                </c:pt>
                <c:pt idx="8">
                  <c:v>1.8000000000000002E-2</c:v>
                </c:pt>
                <c:pt idx="9">
                  <c:v>9.0000000000000011E-3</c:v>
                </c:pt>
                <c:pt idx="10">
                  <c:v>-1.3000000000000001E-2</c:v>
                </c:pt>
                <c:pt idx="11">
                  <c:v>-3.4000000000000002E-2</c:v>
                </c:pt>
                <c:pt idx="12">
                  <c:v>-2.8999999999999998E-2</c:v>
                </c:pt>
                <c:pt idx="13">
                  <c:v>-1.2E-2</c:v>
                </c:pt>
                <c:pt idx="14">
                  <c:v>-4.0000000000000001E-3</c:v>
                </c:pt>
                <c:pt idx="15">
                  <c:v>3.0000000000000001E-3</c:v>
                </c:pt>
                <c:pt idx="16">
                  <c:v>0</c:v>
                </c:pt>
                <c:pt idx="17">
                  <c:v>6.9999999999999993E-3</c:v>
                </c:pt>
                <c:pt idx="18">
                  <c:v>2.1000000000000001E-2</c:v>
                </c:pt>
                <c:pt idx="19">
                  <c:v>3.2000000000000001E-2</c:v>
                </c:pt>
                <c:pt idx="20">
                  <c:v>2.4E-2</c:v>
                </c:pt>
                <c:pt idx="21">
                  <c:v>9.0000000000000011E-3</c:v>
                </c:pt>
                <c:pt idx="22">
                  <c:v>-0.01</c:v>
                </c:pt>
                <c:pt idx="23">
                  <c:v>-1.1000000000000001E-2</c:v>
                </c:pt>
                <c:pt idx="24">
                  <c:v>-1.3000000000000001E-2</c:v>
                </c:pt>
                <c:pt idx="25">
                  <c:v>-1.2E-2</c:v>
                </c:pt>
                <c:pt idx="26">
                  <c:v>-5.0000000000000001E-3</c:v>
                </c:pt>
                <c:pt idx="27">
                  <c:v>5.0000000000000001E-3</c:v>
                </c:pt>
                <c:pt idx="28">
                  <c:v>1.9E-2</c:v>
                </c:pt>
                <c:pt idx="29">
                  <c:v>2.7000000000000003E-2</c:v>
                </c:pt>
                <c:pt idx="30">
                  <c:v>1.9E-2</c:v>
                </c:pt>
                <c:pt idx="31">
                  <c:v>-4.0000000000000001E-3</c:v>
                </c:pt>
                <c:pt idx="32">
                  <c:v>-2.3E-2</c:v>
                </c:pt>
                <c:pt idx="33">
                  <c:v>-2.1000000000000001E-2</c:v>
                </c:pt>
                <c:pt idx="34">
                  <c:v>-1.6E-2</c:v>
                </c:pt>
                <c:pt idx="35">
                  <c:v>0</c:v>
                </c:pt>
                <c:pt idx="36">
                  <c:v>1.8000000000000002E-2</c:v>
                </c:pt>
                <c:pt idx="37">
                  <c:v>2.2000000000000002E-2</c:v>
                </c:pt>
                <c:pt idx="38">
                  <c:v>-2.6000000000000002E-2</c:v>
                </c:pt>
                <c:pt idx="39">
                  <c:v>-1.9E-2</c:v>
                </c:pt>
                <c:pt idx="40">
                  <c:v>-1.2E-2</c:v>
                </c:pt>
                <c:pt idx="41">
                  <c:v>-2.6000000000000002E-2</c:v>
                </c:pt>
                <c:pt idx="42">
                  <c:v>-3.1E-2</c:v>
                </c:pt>
                <c:pt idx="43">
                  <c:v>-2.2000000000000002E-2</c:v>
                </c:pt>
                <c:pt idx="44">
                  <c:v>-1.7000000000000001E-2</c:v>
                </c:pt>
                <c:pt idx="45">
                  <c:v>-8.0000000000000002E-3</c:v>
                </c:pt>
                <c:pt idx="46">
                  <c:v>6.0000000000000001E-3</c:v>
                </c:pt>
                <c:pt idx="47">
                  <c:v>1.3000000000000001E-2</c:v>
                </c:pt>
                <c:pt idx="48">
                  <c:v>1.3999999999999999E-2</c:v>
                </c:pt>
                <c:pt idx="49">
                  <c:v>-0.04</c:v>
                </c:pt>
                <c:pt idx="50">
                  <c:v>-0.01</c:v>
                </c:pt>
                <c:pt idx="51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0-4BC7-B3F7-53F7797D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38155"/>
        <c:axId val="53323667"/>
      </c:lineChart>
      <c:catAx>
        <c:axId val="116038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53323667"/>
        <c:crosses val="autoZero"/>
        <c:auto val="1"/>
        <c:lblAlgn val="ctr"/>
        <c:lblOffset val="100"/>
        <c:noMultiLvlLbl val="1"/>
      </c:catAx>
      <c:valAx>
        <c:axId val="53323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diff_sim_real-emu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160381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Schuld stabiliserend anker met conjunctuurdeel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Schuld-stabiliserend anker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'Backtest-GDPpot_opt2'!$A$2:$A$1000</c:f>
              <c:numCache>
                <c:formatCode>General</c:formatCode>
                <c:ptCount val="99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'Backtest-GDPpot_opt2'!$Z$2:$Z$1000</c:f>
              <c:numCache>
                <c:formatCode>0.00%</c:formatCode>
                <c:ptCount val="999"/>
                <c:pt idx="0">
                  <c:v>-1.8435454826778327E-2</c:v>
                </c:pt>
                <c:pt idx="1">
                  <c:v>-1.8435454826778327E-2</c:v>
                </c:pt>
                <c:pt idx="2">
                  <c:v>-1.6395279117530498E-2</c:v>
                </c:pt>
                <c:pt idx="3">
                  <c:v>-1.6395279117530498E-2</c:v>
                </c:pt>
                <c:pt idx="4">
                  <c:v>-1.6395279117530498E-2</c:v>
                </c:pt>
                <c:pt idx="5">
                  <c:v>-1.6395279117530498E-2</c:v>
                </c:pt>
                <c:pt idx="6">
                  <c:v>-1.0958906850553445E-2</c:v>
                </c:pt>
                <c:pt idx="7">
                  <c:v>-1.0958906850553445E-2</c:v>
                </c:pt>
                <c:pt idx="8">
                  <c:v>-1.0958906850553445E-2</c:v>
                </c:pt>
                <c:pt idx="9">
                  <c:v>-1.0958906850553445E-2</c:v>
                </c:pt>
                <c:pt idx="10">
                  <c:v>-5.0613073219565622E-3</c:v>
                </c:pt>
                <c:pt idx="11">
                  <c:v>4.1154282397899153E-3</c:v>
                </c:pt>
                <c:pt idx="12">
                  <c:v>4.1154282397899153E-3</c:v>
                </c:pt>
                <c:pt idx="13">
                  <c:v>4.1154282397899153E-3</c:v>
                </c:pt>
                <c:pt idx="14">
                  <c:v>4.1154282397899153E-3</c:v>
                </c:pt>
                <c:pt idx="15">
                  <c:v>1.714137617141227E-2</c:v>
                </c:pt>
                <c:pt idx="16">
                  <c:v>1.714137617141227E-2</c:v>
                </c:pt>
                <c:pt idx="17">
                  <c:v>1.714137617141227E-2</c:v>
                </c:pt>
                <c:pt idx="18">
                  <c:v>1.238243061237833E-2</c:v>
                </c:pt>
                <c:pt idx="19">
                  <c:v>1.238243061237833E-2</c:v>
                </c:pt>
                <c:pt idx="20">
                  <c:v>1.238243061237833E-2</c:v>
                </c:pt>
                <c:pt idx="21">
                  <c:v>1.238243061237833E-2</c:v>
                </c:pt>
                <c:pt idx="22">
                  <c:v>1.238243061237833E-2</c:v>
                </c:pt>
                <c:pt idx="23">
                  <c:v>1.0813410618006437E-2</c:v>
                </c:pt>
                <c:pt idx="24">
                  <c:v>1.0813410618006437E-2</c:v>
                </c:pt>
                <c:pt idx="25">
                  <c:v>1.0813410618006437E-2</c:v>
                </c:pt>
                <c:pt idx="26">
                  <c:v>1.0813410618006437E-2</c:v>
                </c:pt>
                <c:pt idx="27">
                  <c:v>1.8724724611462059E-3</c:v>
                </c:pt>
                <c:pt idx="28">
                  <c:v>1.8724724611462059E-3</c:v>
                </c:pt>
                <c:pt idx="29">
                  <c:v>1.8724724611462059E-3</c:v>
                </c:pt>
                <c:pt idx="30">
                  <c:v>1.8724724611462059E-3</c:v>
                </c:pt>
                <c:pt idx="31">
                  <c:v>1.8555088523051929E-3</c:v>
                </c:pt>
                <c:pt idx="32">
                  <c:v>2.4458883378767047E-3</c:v>
                </c:pt>
                <c:pt idx="33">
                  <c:v>2.4458883378767047E-3</c:v>
                </c:pt>
                <c:pt idx="34">
                  <c:v>2.4458883378767047E-3</c:v>
                </c:pt>
                <c:pt idx="35">
                  <c:v>3.2060893828681257E-3</c:v>
                </c:pt>
                <c:pt idx="36">
                  <c:v>1.1756690177601062E-3</c:v>
                </c:pt>
                <c:pt idx="37">
                  <c:v>1.1756690177601062E-3</c:v>
                </c:pt>
                <c:pt idx="38">
                  <c:v>1.1756690177601062E-3</c:v>
                </c:pt>
                <c:pt idx="39">
                  <c:v>3.3831579705260921E-3</c:v>
                </c:pt>
                <c:pt idx="40">
                  <c:v>3.3831579705260921E-3</c:v>
                </c:pt>
                <c:pt idx="41">
                  <c:v>1.1304544761298544E-3</c:v>
                </c:pt>
                <c:pt idx="42">
                  <c:v>1.1304544761298544E-3</c:v>
                </c:pt>
                <c:pt idx="43">
                  <c:v>1.1304544761298544E-3</c:v>
                </c:pt>
                <c:pt idx="44">
                  <c:v>1.1304544761298544E-3</c:v>
                </c:pt>
                <c:pt idx="45">
                  <c:v>1.1304544761298544E-3</c:v>
                </c:pt>
                <c:pt idx="46">
                  <c:v>-5.3375675783973887E-3</c:v>
                </c:pt>
                <c:pt idx="47">
                  <c:v>-5.3375675783973887E-3</c:v>
                </c:pt>
                <c:pt idx="48">
                  <c:v>-5.3375675783973887E-3</c:v>
                </c:pt>
                <c:pt idx="49">
                  <c:v>-5.3375675783973887E-3</c:v>
                </c:pt>
                <c:pt idx="50">
                  <c:v>-9.5534227060116023E-3</c:v>
                </c:pt>
                <c:pt idx="51">
                  <c:v>-9.5534227060116023E-3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4A9C-8AD0-9B6E324EC7F9}"/>
            </c:ext>
          </c:extLst>
        </c:ser>
        <c:ser>
          <c:idx val="1"/>
          <c:order val="1"/>
          <c:tx>
            <c:v>Conjunctuurdeel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numRef>
              <c:f>'Backtest-GDPpot_opt2'!$A$2:$A$1000</c:f>
              <c:numCache>
                <c:formatCode>General</c:formatCode>
                <c:ptCount val="99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'Backtest-GDPpot_opt2'!$AA$2:$AA$1000</c:f>
              <c:numCache>
                <c:formatCode>0.00%</c:formatCode>
                <c:ptCount val="999"/>
                <c:pt idx="0">
                  <c:v>1.3000000000000001E-2</c:v>
                </c:pt>
                <c:pt idx="1">
                  <c:v>8.0000000000000002E-3</c:v>
                </c:pt>
                <c:pt idx="2">
                  <c:v>2.4E-2</c:v>
                </c:pt>
                <c:pt idx="3">
                  <c:v>2.6000000000000002E-2</c:v>
                </c:pt>
                <c:pt idx="4">
                  <c:v>-1E-3</c:v>
                </c:pt>
                <c:pt idx="5">
                  <c:v>1.6E-2</c:v>
                </c:pt>
                <c:pt idx="6">
                  <c:v>1.6E-2</c:v>
                </c:pt>
                <c:pt idx="7">
                  <c:v>0.02</c:v>
                </c:pt>
                <c:pt idx="8">
                  <c:v>1.8000000000000002E-2</c:v>
                </c:pt>
                <c:pt idx="9">
                  <c:v>9.0000000000000011E-3</c:v>
                </c:pt>
                <c:pt idx="10">
                  <c:v>-1.3000000000000001E-2</c:v>
                </c:pt>
                <c:pt idx="11">
                  <c:v>-3.4000000000000002E-2</c:v>
                </c:pt>
                <c:pt idx="12">
                  <c:v>-2.8999999999999998E-2</c:v>
                </c:pt>
                <c:pt idx="13">
                  <c:v>-1.2E-2</c:v>
                </c:pt>
                <c:pt idx="14">
                  <c:v>-4.0000000000000001E-3</c:v>
                </c:pt>
                <c:pt idx="15">
                  <c:v>3.0000000000000001E-3</c:v>
                </c:pt>
                <c:pt idx="16">
                  <c:v>0</c:v>
                </c:pt>
                <c:pt idx="17">
                  <c:v>6.9999999999999993E-3</c:v>
                </c:pt>
                <c:pt idx="18">
                  <c:v>2.1000000000000001E-2</c:v>
                </c:pt>
                <c:pt idx="19">
                  <c:v>3.2000000000000001E-2</c:v>
                </c:pt>
                <c:pt idx="20">
                  <c:v>2.4E-2</c:v>
                </c:pt>
                <c:pt idx="21">
                  <c:v>9.0000000000000011E-3</c:v>
                </c:pt>
                <c:pt idx="22">
                  <c:v>-0.01</c:v>
                </c:pt>
                <c:pt idx="23">
                  <c:v>-1.1000000000000001E-2</c:v>
                </c:pt>
                <c:pt idx="24">
                  <c:v>-1.3000000000000001E-2</c:v>
                </c:pt>
                <c:pt idx="25">
                  <c:v>-1.2E-2</c:v>
                </c:pt>
                <c:pt idx="26">
                  <c:v>-5.0000000000000001E-3</c:v>
                </c:pt>
                <c:pt idx="27">
                  <c:v>5.0000000000000001E-3</c:v>
                </c:pt>
                <c:pt idx="28">
                  <c:v>1.9E-2</c:v>
                </c:pt>
                <c:pt idx="29">
                  <c:v>2.7000000000000003E-2</c:v>
                </c:pt>
                <c:pt idx="30">
                  <c:v>1.9E-2</c:v>
                </c:pt>
                <c:pt idx="31">
                  <c:v>-4.0000000000000001E-3</c:v>
                </c:pt>
                <c:pt idx="32">
                  <c:v>-2.3E-2</c:v>
                </c:pt>
                <c:pt idx="33">
                  <c:v>-2.1000000000000001E-2</c:v>
                </c:pt>
                <c:pt idx="34">
                  <c:v>-1.6E-2</c:v>
                </c:pt>
                <c:pt idx="35">
                  <c:v>0</c:v>
                </c:pt>
                <c:pt idx="36">
                  <c:v>1.8000000000000002E-2</c:v>
                </c:pt>
                <c:pt idx="37">
                  <c:v>2.2000000000000002E-2</c:v>
                </c:pt>
                <c:pt idx="38">
                  <c:v>-2.6000000000000002E-2</c:v>
                </c:pt>
                <c:pt idx="39">
                  <c:v>-1.9E-2</c:v>
                </c:pt>
                <c:pt idx="40">
                  <c:v>-1.2E-2</c:v>
                </c:pt>
                <c:pt idx="41">
                  <c:v>-2.6000000000000002E-2</c:v>
                </c:pt>
                <c:pt idx="42">
                  <c:v>-3.1E-2</c:v>
                </c:pt>
                <c:pt idx="43">
                  <c:v>-2.2000000000000002E-2</c:v>
                </c:pt>
                <c:pt idx="44">
                  <c:v>-1.7000000000000001E-2</c:v>
                </c:pt>
                <c:pt idx="45">
                  <c:v>-8.0000000000000002E-3</c:v>
                </c:pt>
                <c:pt idx="46">
                  <c:v>6.0000000000000001E-3</c:v>
                </c:pt>
                <c:pt idx="47">
                  <c:v>1.3000000000000001E-2</c:v>
                </c:pt>
                <c:pt idx="48">
                  <c:v>1.3999999999999999E-2</c:v>
                </c:pt>
                <c:pt idx="49">
                  <c:v>-0.04</c:v>
                </c:pt>
                <c:pt idx="50">
                  <c:v>-0.01</c:v>
                </c:pt>
                <c:pt idx="51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1-4A9C-8AD0-9B6E324E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78291"/>
        <c:axId val="1810322928"/>
      </c:areaChart>
      <c:catAx>
        <c:axId val="1683178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810322928"/>
        <c:crosses val="autoZero"/>
        <c:auto val="1"/>
        <c:lblAlgn val="ctr"/>
        <c:lblOffset val="100"/>
        <c:noMultiLvlLbl val="1"/>
      </c:catAx>
      <c:valAx>
        <c:axId val="1810322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Primair saldo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6831782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Formaties stuurden pro-cyclisch bij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Struc EMU Saldo (CPB)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Advies'!$K$2:$K$10</c:f>
              <c:numCache>
                <c:formatCode>0.00%</c:formatCode>
                <c:ptCount val="9"/>
                <c:pt idx="0">
                  <c:v>5.1827640361209598E-3</c:v>
                </c:pt>
                <c:pt idx="1">
                  <c:v>4.1025589471758994E-3</c:v>
                </c:pt>
                <c:pt idx="2">
                  <c:v>8.7572766811640224E-3</c:v>
                </c:pt>
                <c:pt idx="3">
                  <c:v>5.0417185554172683E-3</c:v>
                </c:pt>
                <c:pt idx="4">
                  <c:v>5.7165008168720589E-3</c:v>
                </c:pt>
                <c:pt idx="5">
                  <c:v>2.8076134699853844E-3</c:v>
                </c:pt>
                <c:pt idx="6">
                  <c:v>-1.6994147439504982E-2</c:v>
                </c:pt>
                <c:pt idx="7">
                  <c:v>-2.3609493670886002E-2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A1B-BA07-8B19E60DB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30633"/>
        <c:axId val="750790776"/>
      </c:lineChart>
      <c:lineChart>
        <c:grouping val="standard"/>
        <c:varyColors val="1"/>
        <c:ser>
          <c:idx val="1"/>
          <c:order val="1"/>
          <c:tx>
            <c:strRef>
              <c:f>'SBR Advies'!$G$1</c:f>
              <c:strCache>
                <c:ptCount val="1"/>
                <c:pt idx="0">
                  <c:v>mutaties_structureel_primair_saldo</c:v>
                </c:pt>
              </c:strCache>
            </c:strRef>
          </c:tx>
          <c:spPr>
            <a:ln cmpd="sng">
              <a:solidFill>
                <a:schemeClr val="accent2"/>
              </a:solidFill>
              <a:prstDash val="lgDash"/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Advies'!$G$2:$G$10</c:f>
              <c:numCache>
                <c:formatCode>0.00%</c:formatCode>
                <c:ptCount val="9"/>
                <c:pt idx="0">
                  <c:v>1.4061999999999963E-3</c:v>
                </c:pt>
                <c:pt idx="1">
                  <c:v>-1.9034200000000001E-2</c:v>
                </c:pt>
                <c:pt idx="2">
                  <c:v>4.5500000000000054E-4</c:v>
                </c:pt>
                <c:pt idx="3">
                  <c:v>-2.8084800000000004E-2</c:v>
                </c:pt>
                <c:pt idx="4">
                  <c:v>1.6386200000000004E-2</c:v>
                </c:pt>
                <c:pt idx="5">
                  <c:v>1.9227599999999997E-2</c:v>
                </c:pt>
                <c:pt idx="6">
                  <c:v>-2.8784400000000002E-2</c:v>
                </c:pt>
                <c:pt idx="7">
                  <c:v>1.3550400000000001E-2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3-4A1B-BA07-8B19E60DBE36}"/>
            </c:ext>
          </c:extLst>
        </c:ser>
        <c:ser>
          <c:idx val="2"/>
          <c:order val="2"/>
          <c:tx>
            <c:v>Conjunctuur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Advies'!$I$2:$I$10</c:f>
              <c:numCache>
                <c:formatCode>0.00%</c:formatCode>
                <c:ptCount val="9"/>
                <c:pt idx="1">
                  <c:v>1.2E-2</c:v>
                </c:pt>
                <c:pt idx="2">
                  <c:v>-1.4000000000000002E-2</c:v>
                </c:pt>
                <c:pt idx="3">
                  <c:v>6.0000000000000019E-3</c:v>
                </c:pt>
                <c:pt idx="4">
                  <c:v>-2.8000000000000001E-2</c:v>
                </c:pt>
                <c:pt idx="5">
                  <c:v>1.7000000000000001E-2</c:v>
                </c:pt>
                <c:pt idx="6">
                  <c:v>2.7999999999999997E-2</c:v>
                </c:pt>
                <c:pt idx="7">
                  <c:v>-2.5000000000000001E-2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3-4A1B-BA07-8B19E60DB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902582"/>
        <c:axId val="1215297187"/>
      </c:lineChart>
      <c:catAx>
        <c:axId val="185430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750790776"/>
        <c:crosses val="autoZero"/>
        <c:auto val="1"/>
        <c:lblAlgn val="ctr"/>
        <c:lblOffset val="100"/>
        <c:noMultiLvlLbl val="1"/>
      </c:catAx>
      <c:valAx>
        <c:axId val="750790776"/>
        <c:scaling>
          <c:orientation val="minMax"/>
          <c:max val="0.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Aanpassing Struc EMU Saldo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85430633"/>
        <c:crosses val="autoZero"/>
        <c:crossBetween val="between"/>
      </c:valAx>
      <c:catAx>
        <c:axId val="183290258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5297187"/>
        <c:crosses val="autoZero"/>
        <c:auto val="1"/>
        <c:lblAlgn val="ctr"/>
        <c:lblOffset val="100"/>
        <c:noMultiLvlLbl val="1"/>
      </c:catAx>
      <c:valAx>
        <c:axId val="1215297187"/>
        <c:scaling>
          <c:orientation val="minMax"/>
          <c:max val="0.04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Output Gap in % BBP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83290258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Verhouding structurele groei economie/rentelasten (r-g) beweegt langzaam en acyclisch</a:t>
            </a:r>
          </a:p>
        </c:rich>
      </c:tx>
      <c:layout>
        <c:manualLayout>
          <c:xMode val="edge"/>
          <c:yMode val="edge"/>
          <c:x val="3.0916666666666669E-2"/>
          <c:y val="4.460916442048517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Struc r - g</c:v>
          </c:tx>
          <c:spPr>
            <a:ln cmpd="sng">
              <a:solidFill>
                <a:srgbClr val="CFE2F3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Advies'!$K$2:$K$10</c:f>
              <c:numCache>
                <c:formatCode>0.00%</c:formatCode>
                <c:ptCount val="9"/>
                <c:pt idx="0">
                  <c:v>5.1827640361209598E-3</c:v>
                </c:pt>
                <c:pt idx="1">
                  <c:v>4.1025589471758994E-3</c:v>
                </c:pt>
                <c:pt idx="2">
                  <c:v>8.7572766811640224E-3</c:v>
                </c:pt>
                <c:pt idx="3">
                  <c:v>5.0417185554172683E-3</c:v>
                </c:pt>
                <c:pt idx="4">
                  <c:v>5.7165008168720589E-3</c:v>
                </c:pt>
                <c:pt idx="5">
                  <c:v>2.8076134699853844E-3</c:v>
                </c:pt>
                <c:pt idx="6">
                  <c:v>-1.6994147439504982E-2</c:v>
                </c:pt>
                <c:pt idx="7">
                  <c:v>-2.3609493670886002E-2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D-49B4-963E-BEA0E4E8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445327"/>
        <c:axId val="1286243766"/>
      </c:lineChart>
      <c:lineChart>
        <c:grouping val="standard"/>
        <c:varyColors val="1"/>
        <c:ser>
          <c:idx val="1"/>
          <c:order val="1"/>
          <c:tx>
            <c:strRef>
              <c:f>'SBR Advies'!$J$1</c:f>
              <c:strCache>
                <c:ptCount val="1"/>
                <c:pt idx="0">
                  <c:v>Output Gap</c:v>
                </c:pt>
              </c:strCache>
            </c:strRef>
          </c:tx>
          <c:spPr>
            <a:ln cmpd="sng">
              <a:solidFill>
                <a:schemeClr val="accent2"/>
              </a:solidFill>
              <a:prstDash val="lgDash"/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Advies'!$J$2:$J$10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2.7000000000000003E-2</c:v>
                </c:pt>
                <c:pt idx="2">
                  <c:v>-2.3E-2</c:v>
                </c:pt>
                <c:pt idx="3">
                  <c:v>1.8000000000000002E-2</c:v>
                </c:pt>
                <c:pt idx="4">
                  <c:v>-1.9E-2</c:v>
                </c:pt>
                <c:pt idx="5">
                  <c:v>-2.6000000000000002E-2</c:v>
                </c:pt>
                <c:pt idx="6">
                  <c:v>6.0000000000000001E-3</c:v>
                </c:pt>
                <c:pt idx="7">
                  <c:v>-0.01</c:v>
                </c:pt>
                <c:pt idx="8">
                  <c:v>-2.5999999999999999E-2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D-49B4-963E-BEA0E4E89230}"/>
            </c:ext>
          </c:extLst>
        </c:ser>
        <c:ser>
          <c:idx val="2"/>
          <c:order val="2"/>
          <c:tx>
            <c:v>Conjunctuur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Advies'!$I$2:$I$10</c:f>
              <c:numCache>
                <c:formatCode>0.00%</c:formatCode>
                <c:ptCount val="9"/>
                <c:pt idx="1">
                  <c:v>1.2E-2</c:v>
                </c:pt>
                <c:pt idx="2">
                  <c:v>-1.4000000000000002E-2</c:v>
                </c:pt>
                <c:pt idx="3">
                  <c:v>6.0000000000000019E-3</c:v>
                </c:pt>
                <c:pt idx="4">
                  <c:v>-2.8000000000000001E-2</c:v>
                </c:pt>
                <c:pt idx="5">
                  <c:v>1.7000000000000001E-2</c:v>
                </c:pt>
                <c:pt idx="6">
                  <c:v>2.7999999999999997E-2</c:v>
                </c:pt>
                <c:pt idx="7">
                  <c:v>-2.5000000000000001E-2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D-49B4-963E-BEA0E4E8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368883"/>
        <c:axId val="1162537660"/>
      </c:lineChart>
      <c:catAx>
        <c:axId val="174844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286243766"/>
        <c:crosses val="autoZero"/>
        <c:auto val="1"/>
        <c:lblAlgn val="ctr"/>
        <c:lblOffset val="100"/>
        <c:noMultiLvlLbl val="1"/>
      </c:catAx>
      <c:valAx>
        <c:axId val="1286243766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r - g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748445327"/>
        <c:crosses val="autoZero"/>
        <c:crossBetween val="between"/>
      </c:valAx>
      <c:catAx>
        <c:axId val="10963688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2537660"/>
        <c:crosses val="autoZero"/>
        <c:auto val="1"/>
        <c:lblAlgn val="ctr"/>
        <c:lblOffset val="100"/>
        <c:noMultiLvlLbl val="1"/>
      </c:catAx>
      <c:valAx>
        <c:axId val="1162537660"/>
        <c:scaling>
          <c:orientation val="minMax"/>
          <c:max val="0.0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Output Gap in % BBP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09636888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Doelsaldo houdbaarheid veranderde sterk over tijd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Struc Primair Saldo na Houdbaarheidssaldo</c:v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Advies'!$K$2:$K$10</c:f>
              <c:numCache>
                <c:formatCode>0.00%</c:formatCode>
                <c:ptCount val="9"/>
                <c:pt idx="0">
                  <c:v>5.1827640361209598E-3</c:v>
                </c:pt>
                <c:pt idx="1">
                  <c:v>4.1025589471758994E-3</c:v>
                </c:pt>
                <c:pt idx="2">
                  <c:v>8.7572766811640224E-3</c:v>
                </c:pt>
                <c:pt idx="3">
                  <c:v>5.0417185554172683E-3</c:v>
                </c:pt>
                <c:pt idx="4">
                  <c:v>5.7165008168720589E-3</c:v>
                </c:pt>
                <c:pt idx="5">
                  <c:v>2.8076134699853844E-3</c:v>
                </c:pt>
                <c:pt idx="6">
                  <c:v>-1.6994147439504982E-2</c:v>
                </c:pt>
                <c:pt idx="7">
                  <c:v>-2.3609493670886002E-2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E-4C2A-9294-476F6E2B0286}"/>
            </c:ext>
          </c:extLst>
        </c:ser>
        <c:ser>
          <c:idx val="1"/>
          <c:order val="1"/>
          <c:tx>
            <c:v>Schuld-stabiliserend saldo </c:v>
          </c:tx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'SBR Advies'!$A$2:$A$10</c:f>
              <c:numCache>
                <c:formatCode>General</c:formatCode>
                <c:ptCount val="9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Advies'!$AF$2:$AF$9</c:f>
              <c:numCache>
                <c:formatCode>0.00%</c:formatCode>
                <c:ptCount val="8"/>
                <c:pt idx="1">
                  <c:v>3.32842E-2</c:v>
                </c:pt>
                <c:pt idx="2">
                  <c:v>1.8249999999999999E-2</c:v>
                </c:pt>
                <c:pt idx="3">
                  <c:v>3.7705000000000002E-2</c:v>
                </c:pt>
                <c:pt idx="4">
                  <c:v>9.6201999999999954E-3</c:v>
                </c:pt>
                <c:pt idx="5">
                  <c:v>4.1006399999999998E-2</c:v>
                </c:pt>
                <c:pt idx="6">
                  <c:v>1.1233999999999999E-2</c:v>
                </c:pt>
                <c:pt idx="7">
                  <c:v>2.4495999999999997E-3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E-4C2A-9294-476F6E2B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24283"/>
        <c:axId val="86935282"/>
      </c:lineChart>
      <c:catAx>
        <c:axId val="540424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86935282"/>
        <c:crosses val="autoZero"/>
        <c:auto val="1"/>
        <c:lblAlgn val="ctr"/>
        <c:lblOffset val="100"/>
        <c:noMultiLvlLbl val="1"/>
      </c:catAx>
      <c:valAx>
        <c:axId val="86935282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Structureel Primair Saldo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5404242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925"/>
          <c:y val="0.1507187780772686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SBR advies stuurde aan op bezuinigingen tijdens laagconjunctuur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SBR Advies</c:v>
          </c:tx>
          <c:spPr>
            <a:ln cmpd="sng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'SBR Advies'!$A$5:$A$9</c:f>
              <c:numCache>
                <c:formatCode>General</c:formatCode>
                <c:ptCount val="5"/>
                <c:pt idx="0">
                  <c:v>2007</c:v>
                </c:pt>
                <c:pt idx="1">
                  <c:v>2010</c:v>
                </c:pt>
                <c:pt idx="2">
                  <c:v>2012</c:v>
                </c:pt>
                <c:pt idx="3">
                  <c:v>2017</c:v>
                </c:pt>
                <c:pt idx="4">
                  <c:v>2021</c:v>
                </c:pt>
              </c:numCache>
            </c:numRef>
          </c:cat>
          <c:val>
            <c:numRef>
              <c:f>'SBR Advies'!$M$5:$M$9</c:f>
              <c:numCache>
                <c:formatCode>0.00%</c:formatCode>
                <c:ptCount val="5"/>
                <c:pt idx="0">
                  <c:v>0</c:v>
                </c:pt>
                <c:pt idx="1">
                  <c:v>1.6799999999999999E-2</c:v>
                </c:pt>
                <c:pt idx="2">
                  <c:v>1.8599999999999998E-2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D-43EF-B01B-A8E0AB6E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922288"/>
        <c:axId val="1778069323"/>
      </c:lineChart>
      <c:lineChart>
        <c:grouping val="standard"/>
        <c:varyColors val="0"/>
        <c:ser>
          <c:idx val="0"/>
          <c:order val="0"/>
          <c:tx>
            <c:v>Conjunctuur</c:v>
          </c:tx>
          <c:spPr>
            <a:ln cmpd="sng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numRef>
              <c:f>'SBR Advies'!$A$5:$A$9</c:f>
              <c:numCache>
                <c:formatCode>General</c:formatCode>
                <c:ptCount val="5"/>
                <c:pt idx="0">
                  <c:v>2007</c:v>
                </c:pt>
                <c:pt idx="1">
                  <c:v>2010</c:v>
                </c:pt>
                <c:pt idx="2">
                  <c:v>2012</c:v>
                </c:pt>
                <c:pt idx="3">
                  <c:v>2017</c:v>
                </c:pt>
                <c:pt idx="4">
                  <c:v>2021</c:v>
                </c:pt>
              </c:numCache>
            </c:numRef>
          </c:cat>
          <c:val>
            <c:numRef>
              <c:f>'SBR Advies'!$J$5:$J$9</c:f>
              <c:numCache>
                <c:formatCode>0.00%</c:formatCode>
                <c:ptCount val="5"/>
                <c:pt idx="0">
                  <c:v>1.8000000000000002E-2</c:v>
                </c:pt>
                <c:pt idx="1">
                  <c:v>-1.9E-2</c:v>
                </c:pt>
                <c:pt idx="2">
                  <c:v>-2.6000000000000002E-2</c:v>
                </c:pt>
                <c:pt idx="3">
                  <c:v>6.0000000000000001E-3</c:v>
                </c:pt>
                <c:pt idx="4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D-43EF-B01B-A8E0AB6E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106298"/>
        <c:axId val="715039012"/>
      </c:lineChart>
      <c:catAx>
        <c:axId val="188892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778069323"/>
        <c:crosses val="autoZero"/>
        <c:auto val="1"/>
        <c:lblAlgn val="ctr"/>
        <c:lblOffset val="100"/>
        <c:noMultiLvlLbl val="1"/>
      </c:catAx>
      <c:valAx>
        <c:axId val="1778069323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Strucvtureel Primair Saldo (% bbp)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888922288"/>
        <c:crosses val="autoZero"/>
        <c:crossBetween val="between"/>
      </c:valAx>
      <c:catAx>
        <c:axId val="132710629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5039012"/>
        <c:crosses val="autoZero"/>
        <c:auto val="1"/>
        <c:lblAlgn val="ctr"/>
        <c:lblOffset val="100"/>
        <c:noMultiLvlLbl val="1"/>
      </c:catAx>
      <c:valAx>
        <c:axId val="715039012"/>
        <c:scaling>
          <c:orientation val="minMax"/>
          <c:max val="0.0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Output Gap in % BBP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32710629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Formaties stuurden meer bij dan geadviseerd door het schuld-stabiliserend anker.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Aanpassing structureel saldo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'SBR Advies'!$A$2:$A$9</c:f>
              <c:numCache>
                <c:formatCode>General</c:formatCode>
                <c:ptCount val="8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Advies'!$G$2:$G$9</c:f>
              <c:numCache>
                <c:formatCode>0.00%</c:formatCode>
                <c:ptCount val="8"/>
                <c:pt idx="0">
                  <c:v>1.4061999999999963E-3</c:v>
                </c:pt>
                <c:pt idx="1">
                  <c:v>-1.9034200000000001E-2</c:v>
                </c:pt>
                <c:pt idx="2">
                  <c:v>4.5500000000000054E-4</c:v>
                </c:pt>
                <c:pt idx="3">
                  <c:v>-2.8084800000000004E-2</c:v>
                </c:pt>
                <c:pt idx="4">
                  <c:v>1.6386200000000004E-2</c:v>
                </c:pt>
                <c:pt idx="5">
                  <c:v>1.9227599999999997E-2</c:v>
                </c:pt>
                <c:pt idx="6">
                  <c:v>-2.8784400000000002E-2</c:v>
                </c:pt>
                <c:pt idx="7">
                  <c:v>1.3550400000000001E-2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E-4302-BA65-51E5D0C9F6B0}"/>
            </c:ext>
          </c:extLst>
        </c:ser>
        <c:ser>
          <c:idx val="1"/>
          <c:order val="1"/>
          <c:tx>
            <c:v>Aanpassing met schuld-stabiliserend saldo </c:v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'SBR Advies'!$A$2:$A$9</c:f>
              <c:numCache>
                <c:formatCode>General</c:formatCode>
                <c:ptCount val="8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Advies'!$R$2:$R$9</c:f>
              <c:numCache>
                <c:formatCode>0.00%</c:formatCode>
                <c:ptCount val="8"/>
                <c:pt idx="1">
                  <c:v>6.8564740787553907E-4</c:v>
                </c:pt>
                <c:pt idx="2">
                  <c:v>1.3533314747616026E-4</c:v>
                </c:pt>
                <c:pt idx="3">
                  <c:v>-2.2705990241041855E-3</c:v>
                </c:pt>
                <c:pt idx="4">
                  <c:v>2.7486177725760952E-3</c:v>
                </c:pt>
                <c:pt idx="5">
                  <c:v>-2.7272155181604866E-3</c:v>
                </c:pt>
                <c:pt idx="6">
                  <c:v>-9.4243021415603891E-3</c:v>
                </c:pt>
                <c:pt idx="7">
                  <c:v>-1.9116530167313864E-3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E-4302-BA65-51E5D0C9F6B0}"/>
            </c:ext>
          </c:extLst>
        </c:ser>
        <c:ser>
          <c:idx val="2"/>
          <c:order val="2"/>
          <c:tx>
            <c:strRef>
              <c:f>'SBR Advies'!$M$1</c:f>
              <c:strCache>
                <c:ptCount val="1"/>
                <c:pt idx="0">
                  <c:v>SBR Advies</c:v>
                </c:pt>
              </c:strCache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'SBR Advies'!$A$2:$A$9</c:f>
              <c:numCache>
                <c:formatCode>General</c:formatCode>
                <c:ptCount val="8"/>
                <c:pt idx="0">
                  <c:v>1998</c:v>
                </c:pt>
                <c:pt idx="1">
                  <c:v>2000</c:v>
                </c:pt>
                <c:pt idx="2">
                  <c:v>2003</c:v>
                </c:pt>
                <c:pt idx="3">
                  <c:v>2007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'SBR Advies'!$M$2:$M$9</c:f>
              <c:numCache>
                <c:formatCode>General</c:formatCode>
                <c:ptCount val="8"/>
                <c:pt idx="3" formatCode="0.00%">
                  <c:v>0</c:v>
                </c:pt>
                <c:pt idx="4" formatCode="0.00%">
                  <c:v>1.6799999999999999E-2</c:v>
                </c:pt>
                <c:pt idx="5" formatCode="0.00%">
                  <c:v>1.8599999999999998E-2</c:v>
                </c:pt>
                <c:pt idx="6" formatCode="0.00%">
                  <c:v>0</c:v>
                </c:pt>
                <c:pt idx="7" formatCode="0.0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E-4302-BA65-51E5D0C9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78593"/>
        <c:axId val="647657852"/>
      </c:lineChart>
      <c:catAx>
        <c:axId val="248878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Jaar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647657852"/>
        <c:crosses val="autoZero"/>
        <c:auto val="1"/>
        <c:lblAlgn val="ctr"/>
        <c:lblOffset val="100"/>
        <c:noMultiLvlLbl val="1"/>
      </c:catAx>
      <c:valAx>
        <c:axId val="647657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Saldo in % BBP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2488785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1866900</xdr:colOff>
      <xdr:row>38</xdr:row>
      <xdr:rowOff>133350</xdr:rowOff>
    </xdr:from>
    <xdr:ext cx="5629275" cy="3533775"/>
    <xdr:graphicFrame macro="">
      <xdr:nvGraphicFramePr>
        <xdr:cNvPr id="10" name="Chart 10" title="Diagram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0</xdr:colOff>
      <xdr:row>34</xdr:row>
      <xdr:rowOff>66675</xdr:rowOff>
    </xdr:from>
    <xdr:ext cx="5715000" cy="3533775"/>
    <xdr:graphicFrame macro="">
      <xdr:nvGraphicFramePr>
        <xdr:cNvPr id="11" name="Chart 11" title="Diagram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200025</xdr:colOff>
      <xdr:row>34</xdr:row>
      <xdr:rowOff>66675</xdr:rowOff>
    </xdr:from>
    <xdr:ext cx="5715000" cy="3533775"/>
    <xdr:graphicFrame macro="">
      <xdr:nvGraphicFramePr>
        <xdr:cNvPr id="12" name="Chart 12" title="Diagram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1819275</xdr:colOff>
      <xdr:row>34</xdr:row>
      <xdr:rowOff>66675</xdr:rowOff>
    </xdr:from>
    <xdr:ext cx="5715000" cy="3533775"/>
    <xdr:graphicFrame macro="">
      <xdr:nvGraphicFramePr>
        <xdr:cNvPr id="13" name="Chart 13" title="Diagram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419100</xdr:colOff>
      <xdr:row>14</xdr:row>
      <xdr:rowOff>133350</xdr:rowOff>
    </xdr:from>
    <xdr:ext cx="5715000" cy="3533775"/>
    <xdr:graphicFrame macro="">
      <xdr:nvGraphicFramePr>
        <xdr:cNvPr id="14" name="Chart 14" title="Diagram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28575</xdr:colOff>
      <xdr:row>14</xdr:row>
      <xdr:rowOff>9525</xdr:rowOff>
    </xdr:from>
    <xdr:ext cx="5715000" cy="3533775"/>
    <xdr:graphicFrame macro="">
      <xdr:nvGraphicFramePr>
        <xdr:cNvPr id="15" name="Chart 15" title="Diagram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200025</xdr:colOff>
      <xdr:row>54</xdr:row>
      <xdr:rowOff>123825</xdr:rowOff>
    </xdr:from>
    <xdr:ext cx="5715000" cy="3533775"/>
    <xdr:graphicFrame macro="">
      <xdr:nvGraphicFramePr>
        <xdr:cNvPr id="16" name="Chart 16" title="Diagram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5</xdr:col>
      <xdr:colOff>114300</xdr:colOff>
      <xdr:row>54</xdr:row>
      <xdr:rowOff>0</xdr:rowOff>
    </xdr:from>
    <xdr:ext cx="5715000" cy="3533775"/>
    <xdr:graphicFrame macro="">
      <xdr:nvGraphicFramePr>
        <xdr:cNvPr id="17" name="Chart 17" title="Diagram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12</xdr:col>
      <xdr:colOff>445770</xdr:colOff>
      <xdr:row>7</xdr:row>
      <xdr:rowOff>87630</xdr:rowOff>
    </xdr:from>
    <xdr:ext cx="7286625" cy="3533775"/>
    <xdr:graphicFrame macro="">
      <xdr:nvGraphicFramePr>
        <xdr:cNvPr id="18" name="Chart 18" title="Diagram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13</xdr:col>
      <xdr:colOff>523875</xdr:colOff>
      <xdr:row>24</xdr:row>
      <xdr:rowOff>47625</xdr:rowOff>
    </xdr:from>
    <xdr:ext cx="7286625" cy="3533775"/>
    <xdr:graphicFrame macro="">
      <xdr:nvGraphicFramePr>
        <xdr:cNvPr id="19" name="Chart 19" title="Diagram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</xdr:col>
      <xdr:colOff>647700</xdr:colOff>
      <xdr:row>14</xdr:row>
      <xdr:rowOff>209550</xdr:rowOff>
    </xdr:from>
    <xdr:ext cx="5715000" cy="3533775"/>
    <xdr:graphicFrame macro="">
      <xdr:nvGraphicFramePr>
        <xdr:cNvPr id="21" name="Chart 21" title="Diagram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</xdr:col>
      <xdr:colOff>1163955</xdr:colOff>
      <xdr:row>20</xdr:row>
      <xdr:rowOff>144780</xdr:rowOff>
    </xdr:from>
    <xdr:ext cx="5715000" cy="3533775"/>
    <xdr:graphicFrame macro="">
      <xdr:nvGraphicFramePr>
        <xdr:cNvPr id="22" name="Chart 22" title="Diagram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742950</xdr:colOff>
      <xdr:row>14</xdr:row>
      <xdr:rowOff>209550</xdr:rowOff>
    </xdr:from>
    <xdr:ext cx="5715000" cy="3533775"/>
    <xdr:graphicFrame macro="">
      <xdr:nvGraphicFramePr>
        <xdr:cNvPr id="23" name="Chart 23" title="Diagram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5</xdr:col>
      <xdr:colOff>666750</xdr:colOff>
      <xdr:row>73</xdr:row>
      <xdr:rowOff>57150</xdr:rowOff>
    </xdr:from>
    <xdr:ext cx="5715000" cy="3533775"/>
    <xdr:graphicFrame macro="">
      <xdr:nvGraphicFramePr>
        <xdr:cNvPr id="24" name="Chart 24" title="Diagram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0</xdr:col>
      <xdr:colOff>209550</xdr:colOff>
      <xdr:row>84</xdr:row>
      <xdr:rowOff>57150</xdr:rowOff>
    </xdr:from>
    <xdr:ext cx="8143875" cy="5048250"/>
    <xdr:graphicFrame macro="">
      <xdr:nvGraphicFramePr>
        <xdr:cNvPr id="25" name="Chart 25" title="Diagram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7</xdr:col>
      <xdr:colOff>2286000</xdr:colOff>
      <xdr:row>13</xdr:row>
      <xdr:rowOff>57150</xdr:rowOff>
    </xdr:from>
    <xdr:ext cx="5715000" cy="3533775"/>
    <xdr:graphicFrame macro="">
      <xdr:nvGraphicFramePr>
        <xdr:cNvPr id="26" name="Chart 26" title="Diagram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683895</xdr:colOff>
      <xdr:row>4</xdr:row>
      <xdr:rowOff>66675</xdr:rowOff>
    </xdr:from>
    <xdr:ext cx="6115050" cy="378142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49</xdr:col>
      <xdr:colOff>200025</xdr:colOff>
      <xdr:row>2</xdr:row>
      <xdr:rowOff>200025</xdr:rowOff>
    </xdr:from>
    <xdr:ext cx="5181600" cy="3200400"/>
    <xdr:graphicFrame macro="">
      <xdr:nvGraphicFramePr>
        <xdr:cNvPr id="3" name="Chart 2" title="Diagra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42</xdr:col>
      <xdr:colOff>323850</xdr:colOff>
      <xdr:row>33</xdr:row>
      <xdr:rowOff>9525</xdr:rowOff>
    </xdr:from>
    <xdr:ext cx="5715000" cy="3533775"/>
    <xdr:graphicFrame macro="">
      <xdr:nvGraphicFramePr>
        <xdr:cNvPr id="5" name="Chart 4" title="Diagra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333375</xdr:colOff>
      <xdr:row>34</xdr:row>
      <xdr:rowOff>66675</xdr:rowOff>
    </xdr:from>
    <xdr:ext cx="5715000" cy="3533775"/>
    <xdr:graphicFrame macro="">
      <xdr:nvGraphicFramePr>
        <xdr:cNvPr id="27" name="Chart 27" title="Diagram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12</xdr:col>
      <xdr:colOff>220980</xdr:colOff>
      <xdr:row>18</xdr:row>
      <xdr:rowOff>158115</xdr:rowOff>
    </xdr:from>
    <xdr:to>
      <xdr:col>18</xdr:col>
      <xdr:colOff>455295</xdr:colOff>
      <xdr:row>32</xdr:row>
      <xdr:rowOff>102870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334C5C5-5FF5-0CE3-3439-ADD13DBA8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700087</xdr:colOff>
      <xdr:row>11</xdr:row>
      <xdr:rowOff>76200</xdr:rowOff>
    </xdr:from>
    <xdr:to>
      <xdr:col>16</xdr:col>
      <xdr:colOff>71437</xdr:colOff>
      <xdr:row>25</xdr:row>
      <xdr:rowOff>19050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C366EE4-45EF-42D6-0EC0-82CE954AC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828675</xdr:colOff>
      <xdr:row>5</xdr:row>
      <xdr:rowOff>40005</xdr:rowOff>
    </xdr:from>
    <xdr:to>
      <xdr:col>11</xdr:col>
      <xdr:colOff>258127</xdr:colOff>
      <xdr:row>25</xdr:row>
      <xdr:rowOff>49530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F9203D4-BECC-2246-B83C-446E9483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73</xdr:row>
      <xdr:rowOff>28575</xdr:rowOff>
    </xdr:from>
    <xdr:ext cx="5715000" cy="3533775"/>
    <xdr:graphicFrame macro="">
      <xdr:nvGraphicFramePr>
        <xdr:cNvPr id="28" name="Chart 28" title="Diagram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857250</xdr:colOff>
      <xdr:row>32</xdr:row>
      <xdr:rowOff>0</xdr:rowOff>
    </xdr:from>
    <xdr:ext cx="5715000" cy="3533775"/>
    <xdr:graphicFrame macro="">
      <xdr:nvGraphicFramePr>
        <xdr:cNvPr id="29" name="Chart 29" title="Diagram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142875</xdr:colOff>
      <xdr:row>52</xdr:row>
      <xdr:rowOff>66675</xdr:rowOff>
    </xdr:from>
    <xdr:ext cx="5715000" cy="3533775"/>
    <xdr:graphicFrame macro="">
      <xdr:nvGraphicFramePr>
        <xdr:cNvPr id="30" name="Chart 30" title="Diagram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142875</xdr:colOff>
      <xdr:row>113</xdr:row>
      <xdr:rowOff>28575</xdr:rowOff>
    </xdr:from>
    <xdr:ext cx="5715000" cy="3533775"/>
    <xdr:graphicFrame macro="">
      <xdr:nvGraphicFramePr>
        <xdr:cNvPr id="31" name="Chart 31" title="Diagram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571500</xdr:colOff>
      <xdr:row>33</xdr:row>
      <xdr:rowOff>19050</xdr:rowOff>
    </xdr:from>
    <xdr:ext cx="6076950" cy="3533775"/>
    <xdr:graphicFrame macro="">
      <xdr:nvGraphicFramePr>
        <xdr:cNvPr id="32" name="Chart 32" title="Diagram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142875</xdr:colOff>
      <xdr:row>92</xdr:row>
      <xdr:rowOff>190500</xdr:rowOff>
    </xdr:from>
    <xdr:ext cx="5715000" cy="3533775"/>
    <xdr:graphicFrame macro="">
      <xdr:nvGraphicFramePr>
        <xdr:cNvPr id="33" name="Chart 33" title="Diagram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752475</xdr:colOff>
      <xdr:row>132</xdr:row>
      <xdr:rowOff>161925</xdr:rowOff>
    </xdr:from>
    <xdr:ext cx="5715000" cy="3533775"/>
    <xdr:graphicFrame macro="">
      <xdr:nvGraphicFramePr>
        <xdr:cNvPr id="34" name="Chart 34" title="Diagram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14</xdr:col>
      <xdr:colOff>445770</xdr:colOff>
      <xdr:row>31</xdr:row>
      <xdr:rowOff>45720</xdr:rowOff>
    </xdr:from>
    <xdr:ext cx="5715000" cy="3533775"/>
    <xdr:graphicFrame macro="">
      <xdr:nvGraphicFramePr>
        <xdr:cNvPr id="35" name="Chart 35" title="Diagram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twoCellAnchor>
    <xdr:from>
      <xdr:col>6</xdr:col>
      <xdr:colOff>69532</xdr:colOff>
      <xdr:row>11</xdr:row>
      <xdr:rowOff>76200</xdr:rowOff>
    </xdr:from>
    <xdr:to>
      <xdr:col>11</xdr:col>
      <xdr:colOff>311467</xdr:colOff>
      <xdr:row>25</xdr:row>
      <xdr:rowOff>15240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E14A7B-E18C-A978-F692-CC9F3B348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784861</xdr:colOff>
      <xdr:row>3</xdr:row>
      <xdr:rowOff>30481</xdr:rowOff>
    </xdr:from>
    <xdr:to>
      <xdr:col>13</xdr:col>
      <xdr:colOff>85727</xdr:colOff>
      <xdr:row>26</xdr:row>
      <xdr:rowOff>192406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0D0554E-691B-A383-7884-F2C9B6E4A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247650</xdr:colOff>
      <xdr:row>18</xdr:row>
      <xdr:rowOff>161925</xdr:rowOff>
    </xdr:from>
    <xdr:ext cx="7839075" cy="4848225"/>
    <xdr:graphicFrame macro="">
      <xdr:nvGraphicFramePr>
        <xdr:cNvPr id="48" name="Chart 48" title="Diagram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714375</xdr:colOff>
      <xdr:row>1</xdr:row>
      <xdr:rowOff>28575</xdr:rowOff>
    </xdr:from>
    <xdr:ext cx="6296025" cy="3886200"/>
    <xdr:graphicFrame macro="">
      <xdr:nvGraphicFramePr>
        <xdr:cNvPr id="50" name="Chart 50" title="Diagram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48</xdr:col>
      <xdr:colOff>342900</xdr:colOff>
      <xdr:row>2</xdr:row>
      <xdr:rowOff>76200</xdr:rowOff>
    </xdr:from>
    <xdr:ext cx="5181600" cy="3200400"/>
    <xdr:graphicFrame macro="">
      <xdr:nvGraphicFramePr>
        <xdr:cNvPr id="51" name="Chart 51" title="Diagram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809625</xdr:colOff>
      <xdr:row>55</xdr:row>
      <xdr:rowOff>9525</xdr:rowOff>
    </xdr:from>
    <xdr:ext cx="9563100" cy="5905500"/>
    <xdr:graphicFrame macro="">
      <xdr:nvGraphicFramePr>
        <xdr:cNvPr id="52" name="Chart 52" title="Diagram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33</xdr:col>
      <xdr:colOff>9525</xdr:colOff>
      <xdr:row>55</xdr:row>
      <xdr:rowOff>66675</xdr:rowOff>
    </xdr:from>
    <xdr:ext cx="10220325" cy="6286500"/>
    <xdr:graphicFrame macro="">
      <xdr:nvGraphicFramePr>
        <xdr:cNvPr id="53" name="Chart 53" title="Diagram">
          <a:extLst>
            <a:ext uri="{FF2B5EF4-FFF2-40B4-BE49-F238E27FC236}">
              <a16:creationId xmlns:a16="http://schemas.microsoft.com/office/drawing/2014/main" id="{00000000-0008-0000-11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323850</xdr:colOff>
      <xdr:row>33</xdr:row>
      <xdr:rowOff>9525</xdr:rowOff>
    </xdr:from>
    <xdr:ext cx="5715000" cy="3533775"/>
    <xdr:graphicFrame macro="">
      <xdr:nvGraphicFramePr>
        <xdr:cNvPr id="54" name="Chart 54" title="Diagram">
          <a:extLst>
            <a:ext uri="{FF2B5EF4-FFF2-40B4-BE49-F238E27FC236}">
              <a16:creationId xmlns:a16="http://schemas.microsoft.com/office/drawing/2014/main" id="{00000000-0008-0000-11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44</xdr:col>
      <xdr:colOff>161925</xdr:colOff>
      <xdr:row>56</xdr:row>
      <xdr:rowOff>114300</xdr:rowOff>
    </xdr:from>
    <xdr:ext cx="7210425" cy="4448175"/>
    <xdr:graphicFrame macro="">
      <xdr:nvGraphicFramePr>
        <xdr:cNvPr id="55" name="Chart 55" title="Diagram">
          <a:extLst>
            <a:ext uri="{FF2B5EF4-FFF2-40B4-BE49-F238E27FC236}">
              <a16:creationId xmlns:a16="http://schemas.microsoft.com/office/drawing/2014/main" id="{00000000-0008-0000-11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34</xdr:col>
      <xdr:colOff>304800</xdr:colOff>
      <xdr:row>47</xdr:row>
      <xdr:rowOff>123825</xdr:rowOff>
    </xdr:from>
    <xdr:ext cx="5972175" cy="3724275"/>
    <xdr:graphicFrame macro="">
      <xdr:nvGraphicFramePr>
        <xdr:cNvPr id="56" name="Chart 56" title="Diagram">
          <a:extLst>
            <a:ext uri="{FF2B5EF4-FFF2-40B4-BE49-F238E27FC236}">
              <a16:creationId xmlns:a16="http://schemas.microsoft.com/office/drawing/2014/main" id="{00000000-0008-0000-11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16</xdr:col>
      <xdr:colOff>95250</xdr:colOff>
      <xdr:row>56</xdr:row>
      <xdr:rowOff>0</xdr:rowOff>
    </xdr:from>
    <xdr:ext cx="5715000" cy="3533775"/>
    <xdr:graphicFrame macro="">
      <xdr:nvGraphicFramePr>
        <xdr:cNvPr id="57" name="Chart 57" title="Diagram">
          <a:extLst>
            <a:ext uri="{FF2B5EF4-FFF2-40B4-BE49-F238E27FC236}">
              <a16:creationId xmlns:a16="http://schemas.microsoft.com/office/drawing/2014/main" id="{00000000-0008-0000-11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plot-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-data"/>
    </sheetNames>
    <sheetDataSet>
      <sheetData sheetId="0">
        <row r="1">
          <cell r="B1" t="str">
            <v>OutputGap</v>
          </cell>
          <cell r="C1" t="str">
            <v>RegeerAkkoord</v>
          </cell>
        </row>
        <row r="2">
          <cell r="B2">
            <v>3.31408493989432</v>
          </cell>
          <cell r="C2">
            <v>-0.238028080476159</v>
          </cell>
        </row>
        <row r="3">
          <cell r="B3">
            <v>-1.2267623636514</v>
          </cell>
          <cell r="C3">
            <v>0.256337664179771</v>
          </cell>
        </row>
        <row r="4">
          <cell r="B4">
            <v>1.86760617486791</v>
          </cell>
          <cell r="C4">
            <v>-0.183098630899485</v>
          </cell>
        </row>
        <row r="5">
          <cell r="B5">
            <v>-2.41690276603221</v>
          </cell>
          <cell r="C5">
            <v>0.34788697962951198</v>
          </cell>
        </row>
        <row r="6">
          <cell r="B6">
            <v>2.17887328862435</v>
          </cell>
          <cell r="C6">
            <v>-0.27464794634922601</v>
          </cell>
        </row>
        <row r="7">
          <cell r="B7">
            <v>-1.2084513830160999</v>
          </cell>
          <cell r="C7">
            <v>1.5929582285186801</v>
          </cell>
        </row>
        <row r="8">
          <cell r="B8">
            <v>-3.3507055042332401</v>
          </cell>
          <cell r="C8">
            <v>1.4281691813227999</v>
          </cell>
        </row>
        <row r="9">
          <cell r="B9">
            <v>0.51267602682538704</v>
          </cell>
          <cell r="C9">
            <v>-1.17183151714303</v>
          </cell>
        </row>
        <row r="10">
          <cell r="B10">
            <v>0.8</v>
          </cell>
          <cell r="C10">
            <v>-2.6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13CB7C-D921-4349-AB35-47D1DFF92673}" name="Tabel1" displayName="Tabel1" ref="B2:C8" totalsRowShown="0" tableBorderDxfId="8">
  <autoFilter ref="B2:C8" xr:uid="{1113CB7C-D921-4349-AB35-47D1DFF92673}"/>
  <tableColumns count="2">
    <tableColumn id="1" xr3:uid="{6BC899A1-953B-408F-B4EA-6994BA5EAF75}" name="Keuze" dataDxfId="7"/>
    <tableColumn id="2" xr3:uid="{18E92B6B-A165-4FD5-913C-0DEDE49DD6A3}" name="Waarde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CABC3-9826-4404-9012-0CA126195059}" name="Tabel2" displayName="Tabel2" ref="E2:F6" totalsRowDxfId="4" tableBorderDxfId="5">
  <autoFilter ref="E2:F6" xr:uid="{C33CABC3-9826-4404-9012-0CA126195059}"/>
  <tableColumns count="2">
    <tableColumn id="1" xr3:uid="{39EDE400-8E27-463B-9822-4F28CA6CEC99}" name="Overzicht" totalsRowLabel="Struc saldo" dataDxfId="3" totalsRowDxfId="2"/>
    <tableColumn id="2" xr3:uid="{ECD1BDFF-A109-442F-86DD-923EAF765CBE}" name="Uitkomst" totalsRowFunction="custom" dataDxfId="1" totalsRowDxfId="0">
      <totalsRowFormula>KeuzesTool!H11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5">
    <outlinePr summaryBelow="0" summaryRight="0"/>
  </sheetPr>
  <dimension ref="A1:AF103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9" sqref="C69"/>
    </sheetView>
  </sheetViews>
  <sheetFormatPr defaultColWidth="12.6640625" defaultRowHeight="15.75" customHeight="1"/>
  <cols>
    <col min="2" max="3" width="18" customWidth="1"/>
    <col min="6" max="7" width="24.33203125" customWidth="1"/>
    <col min="8" max="8" width="18.5546875" customWidth="1"/>
    <col min="9" max="9" width="27.109375" style="54" bestFit="1" customWidth="1"/>
    <col min="10" max="10" width="10.88671875" customWidth="1"/>
    <col min="11" max="11" width="16.44140625" customWidth="1"/>
    <col min="12" max="12" width="35.88671875" customWidth="1"/>
    <col min="13" max="13" width="21.6640625" customWidth="1"/>
    <col min="14" max="14" width="20.33203125" customWidth="1"/>
    <col min="18" max="18" width="17" customWidth="1"/>
  </cols>
  <sheetData>
    <row r="1" spans="1:32" s="78" customFormat="1" ht="13.2">
      <c r="A1" s="96" t="s">
        <v>12</v>
      </c>
      <c r="B1" s="97" t="s">
        <v>11</v>
      </c>
      <c r="C1" s="97" t="s">
        <v>66</v>
      </c>
      <c r="D1" s="97" t="s">
        <v>23</v>
      </c>
      <c r="E1" s="97" t="s">
        <v>16</v>
      </c>
      <c r="F1" s="98" t="s">
        <v>67</v>
      </c>
      <c r="G1" s="98" t="s">
        <v>68</v>
      </c>
      <c r="H1" s="97" t="s">
        <v>69</v>
      </c>
      <c r="I1" s="97" t="s">
        <v>171</v>
      </c>
      <c r="J1" s="97" t="s">
        <v>70</v>
      </c>
      <c r="K1" s="97" t="s">
        <v>71</v>
      </c>
      <c r="L1" s="97" t="s">
        <v>72</v>
      </c>
      <c r="M1" s="97" t="s">
        <v>164</v>
      </c>
      <c r="N1" s="97" t="s">
        <v>154</v>
      </c>
    </row>
    <row r="2" spans="1:32" s="66" customFormat="1" ht="13.2">
      <c r="A2" s="99">
        <v>1.2200000000000001E-2</v>
      </c>
      <c r="B2" s="99">
        <v>3.5000000000000003E-2</v>
      </c>
      <c r="C2" s="99">
        <v>0.54300000000000004</v>
      </c>
      <c r="D2" s="99">
        <f>((1+A2)/(1+B2)-1)*C2</f>
        <v>-1.1961739130434742E-2</v>
      </c>
      <c r="E2" s="99">
        <f>D2-A2*C2</f>
        <v>-1.8586339130434743E-2</v>
      </c>
      <c r="F2" s="100">
        <v>0</v>
      </c>
      <c r="G2" s="100">
        <v>0</v>
      </c>
      <c r="H2" s="99">
        <f>$B$54+G2</f>
        <v>-3.9E-2</v>
      </c>
      <c r="I2" s="99">
        <f t="shared" ref="I2:I49" si="0">H2-$D$66</f>
        <v>-3.2942739999999998E-2</v>
      </c>
      <c r="J2" s="101">
        <f t="shared" ref="J2:J49" si="1">I2 + ($B$55 *$B$57)</f>
        <v>-2.1105339999999997E-2</v>
      </c>
      <c r="K2" s="101">
        <f t="shared" ref="K2:K25" si="2">D2+F2</f>
        <v>-1.1961739130434742E-2</v>
      </c>
      <c r="L2" s="101">
        <f>J2-K2</f>
        <v>-9.1436008695652549E-3</v>
      </c>
      <c r="M2" s="102">
        <f t="shared" ref="M2:M49" si="3">L2*$B$53*$B$60</f>
        <v>-10.581525798032361</v>
      </c>
      <c r="N2" s="102">
        <f t="shared" ref="N2:N49" si="4">M2*$B$58</f>
        <v>-5.2907628990161806</v>
      </c>
    </row>
    <row r="3" spans="1:32" s="66" customFormat="1" ht="13.2">
      <c r="A3" s="99">
        <v>2.18E-2</v>
      </c>
      <c r="B3" s="99">
        <v>3.5000000000000003E-2</v>
      </c>
      <c r="C3" s="99">
        <v>0.54300000000000004</v>
      </c>
      <c r="D3" s="99">
        <f>((1+A3)/(1+B3)-1)*C3</f>
        <v>-6.9252173913042798E-3</v>
      </c>
      <c r="E3" s="99">
        <f t="shared" ref="E3:E24" si="5">D3-A3*C3</f>
        <v>-1.8762617391304283E-2</v>
      </c>
      <c r="F3" s="100">
        <v>0</v>
      </c>
      <c r="G3" s="100">
        <v>0</v>
      </c>
      <c r="H3" s="99">
        <f t="shared" ref="H3:H49" si="6">$B$54+G3</f>
        <v>-3.9E-2</v>
      </c>
      <c r="I3" s="99">
        <f t="shared" si="0"/>
        <v>-3.2942739999999998E-2</v>
      </c>
      <c r="J3" s="101">
        <f t="shared" si="1"/>
        <v>-2.1105339999999997E-2</v>
      </c>
      <c r="K3" s="101">
        <f t="shared" si="2"/>
        <v>-6.9252173913042798E-3</v>
      </c>
      <c r="L3" s="101">
        <f>J3-K3</f>
        <v>-1.4180122608695717E-2</v>
      </c>
      <c r="M3" s="102">
        <f t="shared" si="3"/>
        <v>-16.410092188364505</v>
      </c>
      <c r="N3" s="102">
        <f t="shared" si="4"/>
        <v>-8.2050460941822525</v>
      </c>
    </row>
    <row r="4" spans="1:32" s="66" customFormat="1" ht="13.2">
      <c r="A4" s="99">
        <v>2.7199999999999998E-2</v>
      </c>
      <c r="B4" s="99">
        <v>3.5000000000000003E-2</v>
      </c>
      <c r="C4" s="99">
        <v>0.54300000000000004</v>
      </c>
      <c r="D4" s="99">
        <f>((1+A4)/(1+B4)-1)*C4</f>
        <v>-4.0921739130435229E-3</v>
      </c>
      <c r="E4" s="99">
        <f>D4-A4*C4</f>
        <v>-1.8861773913043525E-2</v>
      </c>
      <c r="F4" s="99">
        <v>0</v>
      </c>
      <c r="G4" s="100">
        <v>0</v>
      </c>
      <c r="H4" s="99">
        <f t="shared" si="6"/>
        <v>-3.9E-2</v>
      </c>
      <c r="I4" s="99">
        <f t="shared" si="0"/>
        <v>-3.2942739999999998E-2</v>
      </c>
      <c r="J4" s="101">
        <f t="shared" si="1"/>
        <v>-2.1105339999999997E-2</v>
      </c>
      <c r="K4" s="101">
        <f t="shared" si="2"/>
        <v>-4.0921739130435229E-3</v>
      </c>
      <c r="L4" s="101">
        <f>J4-K4</f>
        <v>-1.7013166086956473E-2</v>
      </c>
      <c r="M4" s="102">
        <f t="shared" si="3"/>
        <v>-19.688660782926188</v>
      </c>
      <c r="N4" s="102">
        <f t="shared" si="4"/>
        <v>-9.8443303914630942</v>
      </c>
    </row>
    <row r="5" spans="1:32" s="66" customFormat="1" ht="13.2">
      <c r="A5" s="99">
        <v>4.7199999999999999E-2</v>
      </c>
      <c r="B5" s="99">
        <v>3.5000000000000003E-2</v>
      </c>
      <c r="C5" s="99">
        <v>0.54300000000000004</v>
      </c>
      <c r="D5" s="99">
        <f t="shared" ref="D5" si="7">((1+A5)/(1+B5)-1)*C5</f>
        <v>6.40057971014487E-3</v>
      </c>
      <c r="E5" s="99">
        <f t="shared" ref="E5" si="8">D5-A5*C5</f>
        <v>-1.9229020289855132E-2</v>
      </c>
      <c r="F5" s="99">
        <v>0</v>
      </c>
      <c r="G5" s="100">
        <v>0</v>
      </c>
      <c r="H5" s="99">
        <f t="shared" si="6"/>
        <v>-3.9E-2</v>
      </c>
      <c r="I5" s="99">
        <f t="shared" si="0"/>
        <v>-3.2942739999999998E-2</v>
      </c>
      <c r="J5" s="101">
        <f t="shared" si="1"/>
        <v>-2.1105339999999997E-2</v>
      </c>
      <c r="K5" s="101">
        <f t="shared" si="2"/>
        <v>6.40057971014487E-3</v>
      </c>
      <c r="L5" s="101">
        <f t="shared" ref="L5" si="9">J5-K5</f>
        <v>-2.7505919710144867E-2</v>
      </c>
      <c r="M5" s="102">
        <f t="shared" si="3"/>
        <v>-31.831507429451406</v>
      </c>
      <c r="N5" s="102">
        <f t="shared" si="4"/>
        <v>-15.915753714725703</v>
      </c>
    </row>
    <row r="6" spans="1:32" s="66" customFormat="1" ht="13.2">
      <c r="A6" s="99">
        <v>7.1999999999999998E-3</v>
      </c>
      <c r="B6" s="99">
        <v>3.5000000000000003E-2</v>
      </c>
      <c r="C6" s="99">
        <v>0.54300000000000004</v>
      </c>
      <c r="D6" s="99">
        <f t="shared" ref="D6:D25" si="10">((1+A6)/(1+B6)-1)*C6</f>
        <v>-1.4584927536231796E-2</v>
      </c>
      <c r="E6" s="99">
        <f t="shared" si="5"/>
        <v>-1.8494527536231795E-2</v>
      </c>
      <c r="F6" s="103">
        <v>0</v>
      </c>
      <c r="G6" s="100">
        <v>0</v>
      </c>
      <c r="H6" s="99">
        <f t="shared" si="6"/>
        <v>-3.9E-2</v>
      </c>
      <c r="I6" s="99">
        <f t="shared" si="0"/>
        <v>-3.2942739999999998E-2</v>
      </c>
      <c r="J6" s="101">
        <f t="shared" si="1"/>
        <v>-2.1105339999999997E-2</v>
      </c>
      <c r="K6" s="101">
        <f t="shared" si="2"/>
        <v>-1.4584927536231796E-2</v>
      </c>
      <c r="L6" s="101">
        <f t="shared" ref="L6:L25" si="11">J6-K6</f>
        <v>-6.5204124637682007E-3</v>
      </c>
      <c r="M6" s="102">
        <f t="shared" si="3"/>
        <v>-7.5458141364011082</v>
      </c>
      <c r="N6" s="102">
        <f t="shared" si="4"/>
        <v>-3.7729070682005541</v>
      </c>
    </row>
    <row r="7" spans="1:32" s="66" customFormat="1" ht="13.2">
      <c r="A7" s="99">
        <v>2.9000000000000001E-2</v>
      </c>
      <c r="B7" s="99">
        <v>3.5000000000000003E-2</v>
      </c>
      <c r="C7" s="99">
        <v>0.54300000000000004</v>
      </c>
      <c r="D7" s="99">
        <f t="shared" ref="D7" si="12">((1+A7)/(1+B7)-1)*C7</f>
        <v>-3.1478260869565238E-3</v>
      </c>
      <c r="E7" s="99">
        <f t="shared" ref="E7" si="13">D7-A7*C7</f>
        <v>-1.8894826086956525E-2</v>
      </c>
      <c r="F7" s="103">
        <v>0</v>
      </c>
      <c r="G7" s="100">
        <v>0</v>
      </c>
      <c r="H7" s="99">
        <f t="shared" si="6"/>
        <v>-3.9E-2</v>
      </c>
      <c r="I7" s="99">
        <f t="shared" si="0"/>
        <v>-3.2942739999999998E-2</v>
      </c>
      <c r="J7" s="101">
        <f t="shared" si="1"/>
        <v>-2.1105339999999997E-2</v>
      </c>
      <c r="K7" s="101">
        <f t="shared" ref="K7" si="14">D7+F7</f>
        <v>-3.1478260869565238E-3</v>
      </c>
      <c r="L7" s="101">
        <f t="shared" ref="L7" si="15">J7-K7</f>
        <v>-1.7957513913043472E-2</v>
      </c>
      <c r="M7" s="102">
        <f t="shared" si="3"/>
        <v>-20.781516981113505</v>
      </c>
      <c r="N7" s="102">
        <f t="shared" si="4"/>
        <v>-10.390758490556752</v>
      </c>
    </row>
    <row r="8" spans="1:32" s="87" customFormat="1" ht="13.2">
      <c r="A8" s="83">
        <v>1.2200000000000001E-2</v>
      </c>
      <c r="B8" s="83">
        <v>3.5000000000000003E-2</v>
      </c>
      <c r="C8" s="83">
        <v>0.54300000000000004</v>
      </c>
      <c r="D8" s="83">
        <f t="shared" si="10"/>
        <v>-1.1961739130434742E-2</v>
      </c>
      <c r="E8" s="83">
        <f t="shared" si="5"/>
        <v>-1.8586339130434743E-2</v>
      </c>
      <c r="F8" s="84">
        <v>0</v>
      </c>
      <c r="G8" s="88">
        <f>$B$59/$B$53*1</f>
        <v>1.0118567119311046E-2</v>
      </c>
      <c r="H8" s="83">
        <f t="shared" si="6"/>
        <v>-2.8881432880688954E-2</v>
      </c>
      <c r="I8" s="83">
        <f t="shared" si="0"/>
        <v>-2.2824172880688956E-2</v>
      </c>
      <c r="J8" s="85">
        <f t="shared" si="1"/>
        <v>-1.0986772880688955E-2</v>
      </c>
      <c r="K8" s="85">
        <f t="shared" si="2"/>
        <v>-1.1961739130434742E-2</v>
      </c>
      <c r="L8" s="85">
        <f t="shared" si="11"/>
        <v>9.7496624974578727E-4</v>
      </c>
      <c r="M8" s="86">
        <f t="shared" si="3"/>
        <v>1.1282896827042308</v>
      </c>
      <c r="N8" s="86">
        <f t="shared" si="4"/>
        <v>0.5641448413521154</v>
      </c>
    </row>
    <row r="9" spans="1:32" s="48" customFormat="1" ht="13.2">
      <c r="A9" s="49">
        <v>2.18E-2</v>
      </c>
      <c r="B9" s="49">
        <v>3.5000000000000003E-2</v>
      </c>
      <c r="C9" s="49">
        <v>0.54300000000000004</v>
      </c>
      <c r="D9" s="49">
        <f t="shared" si="10"/>
        <v>-6.9252173913042798E-3</v>
      </c>
      <c r="E9" s="49">
        <f t="shared" si="5"/>
        <v>-1.8762617391304283E-2</v>
      </c>
      <c r="F9" s="50">
        <v>0</v>
      </c>
      <c r="G9" s="53">
        <f t="shared" ref="G9:G13" si="16">$B$59/$B$53*1</f>
        <v>1.0118567119311046E-2</v>
      </c>
      <c r="H9" s="49">
        <f t="shared" si="6"/>
        <v>-2.8881432880688954E-2</v>
      </c>
      <c r="I9" s="49">
        <f t="shared" si="0"/>
        <v>-2.2824172880688956E-2</v>
      </c>
      <c r="J9" s="51">
        <f t="shared" si="1"/>
        <v>-1.0986772880688955E-2</v>
      </c>
      <c r="K9" s="51">
        <f t="shared" si="2"/>
        <v>-6.9252173913042798E-3</v>
      </c>
      <c r="L9" s="51">
        <f t="shared" si="11"/>
        <v>-4.0615554893846748E-3</v>
      </c>
      <c r="M9" s="52">
        <f t="shared" si="3"/>
        <v>-4.7002767076279115</v>
      </c>
      <c r="N9" s="52">
        <f t="shared" si="4"/>
        <v>-2.3501383538139557</v>
      </c>
    </row>
    <row r="10" spans="1:32" s="48" customFormat="1" ht="13.2">
      <c r="A10" s="49">
        <v>2.7199999999999998E-2</v>
      </c>
      <c r="B10" s="49">
        <v>3.5000000000000003E-2</v>
      </c>
      <c r="C10" s="49">
        <v>0.54300000000000004</v>
      </c>
      <c r="D10" s="49">
        <f t="shared" ref="D10" si="17">((1+A10)/(1+B10)-1)*C10</f>
        <v>-4.0921739130435229E-3</v>
      </c>
      <c r="E10" s="49">
        <f t="shared" ref="E10" si="18">D10-A10*C10</f>
        <v>-1.8861773913043525E-2</v>
      </c>
      <c r="F10" s="49">
        <v>0</v>
      </c>
      <c r="G10" s="53">
        <f t="shared" si="16"/>
        <v>1.0118567119311046E-2</v>
      </c>
      <c r="H10" s="49">
        <f t="shared" si="6"/>
        <v>-2.8881432880688954E-2</v>
      </c>
      <c r="I10" s="49">
        <f t="shared" si="0"/>
        <v>-2.2824172880688956E-2</v>
      </c>
      <c r="J10" s="51">
        <f t="shared" si="1"/>
        <v>-1.0986772880688955E-2</v>
      </c>
      <c r="K10" s="51">
        <f t="shared" si="2"/>
        <v>-4.0921739130435229E-3</v>
      </c>
      <c r="L10" s="51">
        <f t="shared" ref="L10" si="19">J10-K10</f>
        <v>-6.8945989676454317E-3</v>
      </c>
      <c r="M10" s="52">
        <f t="shared" si="3"/>
        <v>-7.978845302189594</v>
      </c>
      <c r="N10" s="52">
        <f t="shared" si="4"/>
        <v>-3.989422651094797</v>
      </c>
    </row>
    <row r="11" spans="1:32" s="48" customFormat="1" ht="13.2">
      <c r="A11" s="49">
        <v>4.7199999999999999E-2</v>
      </c>
      <c r="B11" s="49">
        <v>3.5000000000000003E-2</v>
      </c>
      <c r="C11" s="49">
        <v>0.54300000000000004</v>
      </c>
      <c r="D11" s="49">
        <f t="shared" si="10"/>
        <v>6.40057971014487E-3</v>
      </c>
      <c r="E11" s="49">
        <f t="shared" si="5"/>
        <v>-1.9229020289855132E-2</v>
      </c>
      <c r="F11" s="53">
        <v>0</v>
      </c>
      <c r="G11" s="53">
        <f t="shared" si="16"/>
        <v>1.0118567119311046E-2</v>
      </c>
      <c r="H11" s="49">
        <f t="shared" si="6"/>
        <v>-2.8881432880688954E-2</v>
      </c>
      <c r="I11" s="49">
        <f t="shared" si="0"/>
        <v>-2.2824172880688956E-2</v>
      </c>
      <c r="J11" s="51">
        <f t="shared" si="1"/>
        <v>-1.0986772880688955E-2</v>
      </c>
      <c r="K11" s="51">
        <f t="shared" si="2"/>
        <v>6.40057971014487E-3</v>
      </c>
      <c r="L11" s="51">
        <f t="shared" si="11"/>
        <v>-1.7387352590833825E-2</v>
      </c>
      <c r="M11" s="52">
        <f t="shared" si="3"/>
        <v>-20.121691948714812</v>
      </c>
      <c r="N11" s="52">
        <f t="shared" si="4"/>
        <v>-10.060845974357406</v>
      </c>
    </row>
    <row r="12" spans="1:32" s="82" customFormat="1" ht="13.2">
      <c r="A12" s="69">
        <v>7.1999999999999998E-3</v>
      </c>
      <c r="B12" s="69">
        <v>3.5000000000000003E-2</v>
      </c>
      <c r="C12" s="69">
        <v>0.54300000000000004</v>
      </c>
      <c r="D12" s="69">
        <f t="shared" si="10"/>
        <v>-1.4584927536231796E-2</v>
      </c>
      <c r="E12" s="69">
        <f t="shared" si="5"/>
        <v>-1.8494527536231795E-2</v>
      </c>
      <c r="F12" s="81">
        <v>0</v>
      </c>
      <c r="G12" s="53">
        <f t="shared" si="16"/>
        <v>1.0118567119311046E-2</v>
      </c>
      <c r="H12" s="69">
        <f t="shared" si="6"/>
        <v>-2.8881432880688954E-2</v>
      </c>
      <c r="I12" s="69">
        <f t="shared" si="0"/>
        <v>-2.2824172880688956E-2</v>
      </c>
      <c r="J12" s="71">
        <f t="shared" si="1"/>
        <v>-1.0986772880688955E-2</v>
      </c>
      <c r="K12" s="71">
        <f t="shared" si="2"/>
        <v>-1.4584927536231796E-2</v>
      </c>
      <c r="L12" s="71">
        <f t="shared" si="11"/>
        <v>3.5981546555428415E-3</v>
      </c>
      <c r="M12" s="72">
        <f t="shared" si="3"/>
        <v>4.1640013443354844</v>
      </c>
      <c r="N12" s="72">
        <f t="shared" si="4"/>
        <v>2.0820006721677422</v>
      </c>
    </row>
    <row r="13" spans="1:32" s="93" customFormat="1" ht="13.8" thickBot="1">
      <c r="A13" s="89">
        <v>2.9000000000000001E-2</v>
      </c>
      <c r="B13" s="89">
        <v>3.5000000000000003E-2</v>
      </c>
      <c r="C13" s="89">
        <v>0.54300000000000004</v>
      </c>
      <c r="D13" s="89">
        <f t="shared" si="10"/>
        <v>-3.1478260869565238E-3</v>
      </c>
      <c r="E13" s="89">
        <f t="shared" si="5"/>
        <v>-1.8894826086956525E-2</v>
      </c>
      <c r="F13" s="90">
        <v>0</v>
      </c>
      <c r="G13" s="90">
        <f t="shared" si="16"/>
        <v>1.0118567119311046E-2</v>
      </c>
      <c r="H13" s="89">
        <f t="shared" si="6"/>
        <v>-2.8881432880688954E-2</v>
      </c>
      <c r="I13" s="89">
        <f t="shared" si="0"/>
        <v>-2.2824172880688956E-2</v>
      </c>
      <c r="J13" s="91">
        <f t="shared" si="1"/>
        <v>-1.0986772880688955E-2</v>
      </c>
      <c r="K13" s="91">
        <f t="shared" si="2"/>
        <v>-3.1478260869565238E-3</v>
      </c>
      <c r="L13" s="91">
        <f t="shared" si="11"/>
        <v>-7.8389467937324299E-3</v>
      </c>
      <c r="M13" s="92">
        <f t="shared" si="3"/>
        <v>-9.0717015003769141</v>
      </c>
      <c r="N13" s="92">
        <f t="shared" si="4"/>
        <v>-4.5358507501884571</v>
      </c>
    </row>
    <row r="14" spans="1:32" s="82" customFormat="1" ht="13.2">
      <c r="A14" s="69">
        <v>1.2200000000000001E-2</v>
      </c>
      <c r="B14" s="69">
        <v>3.5000000000000003E-2</v>
      </c>
      <c r="C14" s="69">
        <v>0.6</v>
      </c>
      <c r="D14" s="69">
        <f t="shared" si="10"/>
        <v>-1.321739130434778E-2</v>
      </c>
      <c r="E14" s="69">
        <f t="shared" si="5"/>
        <v>-2.0537391304347778E-2</v>
      </c>
      <c r="F14" s="70">
        <v>0</v>
      </c>
      <c r="G14" s="70">
        <v>0</v>
      </c>
      <c r="H14" s="69">
        <f t="shared" si="6"/>
        <v>-3.9E-2</v>
      </c>
      <c r="I14" s="69">
        <f t="shared" si="0"/>
        <v>-3.2942739999999998E-2</v>
      </c>
      <c r="J14" s="71">
        <f t="shared" si="1"/>
        <v>-2.1105339999999997E-2</v>
      </c>
      <c r="K14" s="71">
        <f t="shared" si="2"/>
        <v>-1.321739130434778E-2</v>
      </c>
      <c r="L14" s="71">
        <f t="shared" si="11"/>
        <v>-7.8879486956522169E-3</v>
      </c>
      <c r="M14" s="72">
        <f t="shared" si="3"/>
        <v>-9.1284094534813374</v>
      </c>
      <c r="N14" s="72">
        <f t="shared" si="4"/>
        <v>-4.5642047267406687</v>
      </c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</row>
    <row r="15" spans="1:32" s="48" customFormat="1" ht="13.2">
      <c r="A15" s="49">
        <v>2.18E-2</v>
      </c>
      <c r="B15" s="49">
        <v>3.5000000000000003E-2</v>
      </c>
      <c r="C15" s="69">
        <v>0.6</v>
      </c>
      <c r="D15" s="49">
        <f t="shared" si="10"/>
        <v>-7.652173913043403E-3</v>
      </c>
      <c r="E15" s="49">
        <f t="shared" si="5"/>
        <v>-2.0732173913043404E-2</v>
      </c>
      <c r="F15" s="50">
        <v>0</v>
      </c>
      <c r="G15" s="50">
        <v>0</v>
      </c>
      <c r="H15" s="49">
        <f t="shared" si="6"/>
        <v>-3.9E-2</v>
      </c>
      <c r="I15" s="49">
        <f t="shared" si="0"/>
        <v>-3.2942739999999998E-2</v>
      </c>
      <c r="J15" s="51">
        <f t="shared" si="1"/>
        <v>-2.1105339999999997E-2</v>
      </c>
      <c r="K15" s="51">
        <f t="shared" si="2"/>
        <v>-7.652173913043403E-3</v>
      </c>
      <c r="L15" s="51">
        <f t="shared" si="11"/>
        <v>-1.3453166086956594E-2</v>
      </c>
      <c r="M15" s="52">
        <f t="shared" si="3"/>
        <v>-15.568814304677074</v>
      </c>
      <c r="N15" s="52">
        <f t="shared" si="4"/>
        <v>-7.7844071523385372</v>
      </c>
    </row>
    <row r="16" spans="1:32" s="48" customFormat="1" ht="13.2">
      <c r="A16" s="49">
        <v>2.7199999999999998E-2</v>
      </c>
      <c r="B16" s="49">
        <v>3.5000000000000003E-2</v>
      </c>
      <c r="C16" s="69">
        <v>0.6</v>
      </c>
      <c r="D16" s="49">
        <f t="shared" si="10"/>
        <v>-4.5217391304348317E-3</v>
      </c>
      <c r="E16" s="49">
        <f t="shared" si="5"/>
        <v>-2.0841739130434828E-2</v>
      </c>
      <c r="F16" s="49">
        <v>0</v>
      </c>
      <c r="G16" s="50">
        <v>0</v>
      </c>
      <c r="H16" s="49">
        <f t="shared" si="6"/>
        <v>-3.9E-2</v>
      </c>
      <c r="I16" s="49">
        <f t="shared" si="0"/>
        <v>-3.2942739999999998E-2</v>
      </c>
      <c r="J16" s="51">
        <f t="shared" si="1"/>
        <v>-2.1105339999999997E-2</v>
      </c>
      <c r="K16" s="51">
        <f t="shared" si="2"/>
        <v>-4.5217391304348317E-3</v>
      </c>
      <c r="L16" s="51">
        <f t="shared" si="11"/>
        <v>-1.6583600869565167E-2</v>
      </c>
      <c r="M16" s="52">
        <f t="shared" si="3"/>
        <v>-19.191542033474512</v>
      </c>
      <c r="N16" s="52">
        <f t="shared" si="4"/>
        <v>-9.5957710167372561</v>
      </c>
    </row>
    <row r="17" spans="1:14" s="48" customFormat="1" ht="13.2">
      <c r="A17" s="49">
        <v>4.7199999999999999E-2</v>
      </c>
      <c r="B17" s="49">
        <v>3.5000000000000003E-2</v>
      </c>
      <c r="C17" s="69">
        <v>0.6</v>
      </c>
      <c r="D17" s="49">
        <f t="shared" si="10"/>
        <v>7.0724637681158775E-3</v>
      </c>
      <c r="E17" s="49">
        <f t="shared" si="5"/>
        <v>-2.124753623188412E-2</v>
      </c>
      <c r="F17" s="49">
        <v>0</v>
      </c>
      <c r="G17" s="50">
        <v>0</v>
      </c>
      <c r="H17" s="49">
        <f t="shared" si="6"/>
        <v>-3.9E-2</v>
      </c>
      <c r="I17" s="49">
        <f t="shared" si="0"/>
        <v>-3.2942739999999998E-2</v>
      </c>
      <c r="J17" s="51">
        <f t="shared" si="1"/>
        <v>-2.1105339999999997E-2</v>
      </c>
      <c r="K17" s="51">
        <f t="shared" si="2"/>
        <v>7.0724637681158775E-3</v>
      </c>
      <c r="L17" s="51">
        <f t="shared" si="11"/>
        <v>-2.8177803768115874E-2</v>
      </c>
      <c r="M17" s="52">
        <f t="shared" si="3"/>
        <v>-32.609052140132206</v>
      </c>
      <c r="N17" s="52">
        <f t="shared" si="4"/>
        <v>-16.304526070066103</v>
      </c>
    </row>
    <row r="18" spans="1:14" s="48" customFormat="1" ht="13.2">
      <c r="A18" s="49">
        <v>7.1999999999999998E-3</v>
      </c>
      <c r="B18" s="49">
        <v>3.5000000000000003E-2</v>
      </c>
      <c r="C18" s="69">
        <v>0.6</v>
      </c>
      <c r="D18" s="49">
        <f t="shared" si="10"/>
        <v>-1.6115942028985409E-2</v>
      </c>
      <c r="E18" s="49">
        <f t="shared" si="5"/>
        <v>-2.043594202898541E-2</v>
      </c>
      <c r="F18" s="53">
        <v>0</v>
      </c>
      <c r="G18" s="50">
        <v>0</v>
      </c>
      <c r="H18" s="49">
        <f t="shared" si="6"/>
        <v>-3.9E-2</v>
      </c>
      <c r="I18" s="49">
        <f t="shared" si="0"/>
        <v>-3.2942739999999998E-2</v>
      </c>
      <c r="J18" s="51">
        <f t="shared" si="1"/>
        <v>-2.1105339999999997E-2</v>
      </c>
      <c r="K18" s="51">
        <f t="shared" si="2"/>
        <v>-1.6115942028985409E-2</v>
      </c>
      <c r="L18" s="51">
        <f t="shared" si="11"/>
        <v>-4.9893979710145878E-3</v>
      </c>
      <c r="M18" s="52">
        <f t="shared" si="3"/>
        <v>-5.7740319268169689</v>
      </c>
      <c r="N18" s="52">
        <f t="shared" si="4"/>
        <v>-2.8870159634084844</v>
      </c>
    </row>
    <row r="19" spans="1:14" s="78" customFormat="1" ht="13.2">
      <c r="A19" s="74">
        <v>2.9000000000000001E-2</v>
      </c>
      <c r="B19" s="74">
        <v>3.5000000000000003E-2</v>
      </c>
      <c r="C19" s="74">
        <v>0.6</v>
      </c>
      <c r="D19" s="74">
        <f t="shared" ref="D19" si="20">((1+A19)/(1+B19)-1)*C19</f>
        <v>-3.4782608695652193E-3</v>
      </c>
      <c r="E19" s="74">
        <f t="shared" ref="E19" si="21">D19-A19*C19</f>
        <v>-2.0878260869565218E-2</v>
      </c>
      <c r="F19" s="75">
        <v>0</v>
      </c>
      <c r="G19" s="94">
        <v>0</v>
      </c>
      <c r="H19" s="74">
        <f t="shared" si="6"/>
        <v>-3.9E-2</v>
      </c>
      <c r="I19" s="74">
        <f t="shared" si="0"/>
        <v>-3.2942739999999998E-2</v>
      </c>
      <c r="J19" s="76">
        <f t="shared" si="1"/>
        <v>-2.1105339999999997E-2</v>
      </c>
      <c r="K19" s="76">
        <f t="shared" ref="K19" si="22">D19+F19</f>
        <v>-3.4782608695652193E-3</v>
      </c>
      <c r="L19" s="76">
        <f t="shared" ref="L19" si="23">J19-K19</f>
        <v>-1.7627079130434778E-2</v>
      </c>
      <c r="M19" s="77">
        <f t="shared" si="3"/>
        <v>-20.399117943073762</v>
      </c>
      <c r="N19" s="77">
        <f t="shared" si="4"/>
        <v>-10.199558971536881</v>
      </c>
    </row>
    <row r="20" spans="1:14" s="48" customFormat="1" ht="13.2">
      <c r="A20" s="49">
        <v>1.2200000000000001E-2</v>
      </c>
      <c r="B20" s="49">
        <v>3.5000000000000003E-2</v>
      </c>
      <c r="C20" s="69">
        <v>0.6</v>
      </c>
      <c r="D20" s="49">
        <f t="shared" si="10"/>
        <v>-1.321739130434778E-2</v>
      </c>
      <c r="E20" s="49">
        <f t="shared" si="5"/>
        <v>-2.0537391304347778E-2</v>
      </c>
      <c r="F20" s="50">
        <v>0</v>
      </c>
      <c r="G20" s="53">
        <f>$B$59/$B$53*1</f>
        <v>1.0118567119311046E-2</v>
      </c>
      <c r="H20" s="49">
        <f t="shared" si="6"/>
        <v>-2.8881432880688954E-2</v>
      </c>
      <c r="I20" s="49">
        <f t="shared" si="0"/>
        <v>-2.2824172880688956E-2</v>
      </c>
      <c r="J20" s="51">
        <f t="shared" si="1"/>
        <v>-1.0986772880688955E-2</v>
      </c>
      <c r="K20" s="51">
        <f t="shared" si="2"/>
        <v>-1.321739130434778E-2</v>
      </c>
      <c r="L20" s="51">
        <f t="shared" si="11"/>
        <v>2.2306184236588252E-3</v>
      </c>
      <c r="M20" s="52">
        <f t="shared" si="3"/>
        <v>2.5814060272552553</v>
      </c>
      <c r="N20" s="52">
        <f t="shared" si="4"/>
        <v>1.2907030136276276</v>
      </c>
    </row>
    <row r="21" spans="1:14" s="48" customFormat="1" ht="13.2">
      <c r="A21" s="49">
        <v>2.18E-2</v>
      </c>
      <c r="B21" s="49">
        <v>3.5000000000000003E-2</v>
      </c>
      <c r="C21" s="69">
        <v>0.6</v>
      </c>
      <c r="D21" s="49">
        <f t="shared" si="10"/>
        <v>-7.652173913043403E-3</v>
      </c>
      <c r="E21" s="49">
        <f t="shared" si="5"/>
        <v>-2.0732173913043404E-2</v>
      </c>
      <c r="F21" s="50">
        <v>0</v>
      </c>
      <c r="G21" s="53">
        <f t="shared" ref="G21:G25" si="24">$B$59/$B$53*1</f>
        <v>1.0118567119311046E-2</v>
      </c>
      <c r="H21" s="49">
        <f t="shared" si="6"/>
        <v>-2.8881432880688954E-2</v>
      </c>
      <c r="I21" s="49">
        <f t="shared" si="0"/>
        <v>-2.2824172880688956E-2</v>
      </c>
      <c r="J21" s="51">
        <f t="shared" si="1"/>
        <v>-1.0986772880688955E-2</v>
      </c>
      <c r="K21" s="51">
        <f t="shared" si="2"/>
        <v>-7.652173913043403E-3</v>
      </c>
      <c r="L21" s="51">
        <f t="shared" si="11"/>
        <v>-3.3345989676455516E-3</v>
      </c>
      <c r="M21" s="52">
        <f t="shared" si="3"/>
        <v>-3.8589988239404818</v>
      </c>
      <c r="N21" s="52">
        <f t="shared" si="4"/>
        <v>-1.9294994119702409</v>
      </c>
    </row>
    <row r="22" spans="1:14" s="48" customFormat="1" ht="13.2">
      <c r="A22" s="49">
        <v>2.7199999999999998E-2</v>
      </c>
      <c r="B22" s="49">
        <v>3.5000000000000003E-2</v>
      </c>
      <c r="C22" s="69">
        <v>0.6</v>
      </c>
      <c r="D22" s="49">
        <f t="shared" ref="D22" si="25">((1+A22)/(1+B22)-1)*C22</f>
        <v>-4.5217391304348317E-3</v>
      </c>
      <c r="E22" s="49">
        <f t="shared" ref="E22" si="26">D22-A22*C22</f>
        <v>-2.0841739130434828E-2</v>
      </c>
      <c r="F22" s="49">
        <v>0</v>
      </c>
      <c r="G22" s="53">
        <f t="shared" si="24"/>
        <v>1.0118567119311046E-2</v>
      </c>
      <c r="H22" s="49">
        <f t="shared" si="6"/>
        <v>-2.8881432880688954E-2</v>
      </c>
      <c r="I22" s="49">
        <f t="shared" si="0"/>
        <v>-2.2824172880688956E-2</v>
      </c>
      <c r="J22" s="51">
        <f t="shared" si="1"/>
        <v>-1.0986772880688955E-2</v>
      </c>
      <c r="K22" s="51">
        <f t="shared" si="2"/>
        <v>-4.5217391304348317E-3</v>
      </c>
      <c r="L22" s="51">
        <f t="shared" ref="L22" si="27">J22-K22</f>
        <v>-6.465033750254123E-3</v>
      </c>
      <c r="M22" s="52">
        <f t="shared" si="3"/>
        <v>-7.4817265527379213</v>
      </c>
      <c r="N22" s="52">
        <f t="shared" si="4"/>
        <v>-3.7408632763689607</v>
      </c>
    </row>
    <row r="23" spans="1:14" s="48" customFormat="1" ht="13.2">
      <c r="A23" s="49">
        <v>4.7199999999999999E-2</v>
      </c>
      <c r="B23" s="49">
        <v>3.5000000000000003E-2</v>
      </c>
      <c r="C23" s="69">
        <v>0.6</v>
      </c>
      <c r="D23" s="49">
        <f t="shared" si="10"/>
        <v>7.0724637681158775E-3</v>
      </c>
      <c r="E23" s="49">
        <f t="shared" si="5"/>
        <v>-2.124753623188412E-2</v>
      </c>
      <c r="F23" s="53">
        <v>0</v>
      </c>
      <c r="G23" s="53">
        <f t="shared" si="24"/>
        <v>1.0118567119311046E-2</v>
      </c>
      <c r="H23" s="49">
        <f t="shared" si="6"/>
        <v>-2.8881432880688954E-2</v>
      </c>
      <c r="I23" s="49">
        <f t="shared" si="0"/>
        <v>-2.2824172880688956E-2</v>
      </c>
      <c r="J23" s="51">
        <f t="shared" si="1"/>
        <v>-1.0986772880688955E-2</v>
      </c>
      <c r="K23" s="51">
        <f t="shared" si="2"/>
        <v>7.0724637681158775E-3</v>
      </c>
      <c r="L23" s="51">
        <f t="shared" si="11"/>
        <v>-1.8059236648804832E-2</v>
      </c>
      <c r="M23" s="52">
        <f t="shared" si="3"/>
        <v>-20.899236659395619</v>
      </c>
      <c r="N23" s="52">
        <f t="shared" si="4"/>
        <v>-10.44961832969781</v>
      </c>
    </row>
    <row r="24" spans="1:14" s="48" customFormat="1" ht="13.2">
      <c r="A24" s="49">
        <v>7.1999999999999998E-3</v>
      </c>
      <c r="B24" s="49">
        <v>3.5000000000000003E-2</v>
      </c>
      <c r="C24" s="69">
        <v>0.6</v>
      </c>
      <c r="D24" s="49">
        <f t="shared" si="10"/>
        <v>-1.6115942028985409E-2</v>
      </c>
      <c r="E24" s="49">
        <f t="shared" si="5"/>
        <v>-2.043594202898541E-2</v>
      </c>
      <c r="F24" s="53">
        <v>0</v>
      </c>
      <c r="G24" s="53">
        <f t="shared" si="24"/>
        <v>1.0118567119311046E-2</v>
      </c>
      <c r="H24" s="49">
        <f t="shared" si="6"/>
        <v>-2.8881432880688954E-2</v>
      </c>
      <c r="I24" s="49">
        <f t="shared" si="0"/>
        <v>-2.2824172880688956E-2</v>
      </c>
      <c r="J24" s="51">
        <f t="shared" si="1"/>
        <v>-1.0986772880688955E-2</v>
      </c>
      <c r="K24" s="51">
        <f t="shared" si="2"/>
        <v>-1.6115942028985409E-2</v>
      </c>
      <c r="L24" s="51">
        <f t="shared" si="11"/>
        <v>5.1291691482964544E-3</v>
      </c>
      <c r="M24" s="52">
        <f t="shared" si="3"/>
        <v>5.9357835539196238</v>
      </c>
      <c r="N24" s="52">
        <f t="shared" si="4"/>
        <v>2.9678917769598119</v>
      </c>
    </row>
    <row r="25" spans="1:14" s="78" customFormat="1" ht="13.2">
      <c r="A25" s="74">
        <v>2.9000000000000001E-2</v>
      </c>
      <c r="B25" s="74">
        <v>3.5000000000000003E-2</v>
      </c>
      <c r="C25" s="74">
        <v>0.6</v>
      </c>
      <c r="D25" s="74">
        <f t="shared" si="10"/>
        <v>-3.4782608695652193E-3</v>
      </c>
      <c r="E25" s="74">
        <f>D25-A25*C25</f>
        <v>-2.0878260869565218E-2</v>
      </c>
      <c r="F25" s="75">
        <v>0</v>
      </c>
      <c r="G25" s="75">
        <f t="shared" si="24"/>
        <v>1.0118567119311046E-2</v>
      </c>
      <c r="H25" s="74">
        <f t="shared" si="6"/>
        <v>-2.8881432880688954E-2</v>
      </c>
      <c r="I25" s="74">
        <f t="shared" si="0"/>
        <v>-2.2824172880688956E-2</v>
      </c>
      <c r="J25" s="76">
        <f t="shared" si="1"/>
        <v>-1.0986772880688955E-2</v>
      </c>
      <c r="K25" s="76">
        <f t="shared" si="2"/>
        <v>-3.4782608695652193E-3</v>
      </c>
      <c r="L25" s="76">
        <f t="shared" si="11"/>
        <v>-7.5085120111237358E-3</v>
      </c>
      <c r="M25" s="77">
        <f t="shared" si="3"/>
        <v>-8.6893024623371709</v>
      </c>
      <c r="N25" s="77">
        <f t="shared" si="4"/>
        <v>-4.3446512311685854</v>
      </c>
    </row>
    <row r="26" spans="1:14" s="48" customFormat="1" ht="13.2">
      <c r="A26" s="49">
        <v>1.2200000000000001E-2</v>
      </c>
      <c r="B26" s="49">
        <v>2.9000000000000001E-2</v>
      </c>
      <c r="C26" s="49">
        <v>0.54300000000000004</v>
      </c>
      <c r="D26" s="49">
        <f>((1+A26)/(1+B26)-1)*C26</f>
        <v>-8.8653061224489658E-3</v>
      </c>
      <c r="E26" s="49">
        <f>D26-A26*C26</f>
        <v>-1.5489906122448965E-2</v>
      </c>
      <c r="F26" s="50">
        <v>0</v>
      </c>
      <c r="G26" s="50">
        <v>0</v>
      </c>
      <c r="H26" s="49">
        <f t="shared" si="6"/>
        <v>-3.9E-2</v>
      </c>
      <c r="I26" s="49">
        <f t="shared" si="0"/>
        <v>-3.2942739999999998E-2</v>
      </c>
      <c r="J26" s="51">
        <f t="shared" si="1"/>
        <v>-2.1105339999999997E-2</v>
      </c>
      <c r="K26" s="51">
        <f t="shared" ref="K26:K49" si="28">D26+F26</f>
        <v>-8.8653061224489658E-3</v>
      </c>
      <c r="L26" s="51">
        <f>J26-K26</f>
        <v>-1.2240033877551031E-2</v>
      </c>
      <c r="M26" s="52">
        <f t="shared" si="3"/>
        <v>-14.164904624741613</v>
      </c>
      <c r="N26" s="52">
        <f t="shared" si="4"/>
        <v>-7.0824523123708065</v>
      </c>
    </row>
    <row r="27" spans="1:14" s="145" customFormat="1" ht="13.2">
      <c r="A27" s="141">
        <v>2.18E-2</v>
      </c>
      <c r="B27" s="141">
        <v>2.9000000000000001E-2</v>
      </c>
      <c r="C27" s="141">
        <v>0.54300000000000004</v>
      </c>
      <c r="D27" s="141">
        <f>((1+A27)/(1+B27)-1)*C27</f>
        <v>-3.7994169096209509E-3</v>
      </c>
      <c r="E27" s="141">
        <f t="shared" ref="E27" si="29">D27-A27*C27</f>
        <v>-1.5636816909620953E-2</v>
      </c>
      <c r="F27" s="142">
        <v>0</v>
      </c>
      <c r="G27" s="142">
        <v>0</v>
      </c>
      <c r="H27" s="141">
        <f t="shared" si="6"/>
        <v>-3.9E-2</v>
      </c>
      <c r="I27" s="141">
        <f t="shared" si="0"/>
        <v>-3.2942739999999998E-2</v>
      </c>
      <c r="J27" s="143">
        <f t="shared" si="1"/>
        <v>-2.1105339999999997E-2</v>
      </c>
      <c r="K27" s="143">
        <f t="shared" si="28"/>
        <v>-3.7994169096209509E-3</v>
      </c>
      <c r="L27" s="143">
        <f>J27-K27</f>
        <v>-1.7305923090379045E-2</v>
      </c>
      <c r="M27" s="144">
        <f t="shared" si="3"/>
        <v>-20.027456824929917</v>
      </c>
      <c r="N27" s="144">
        <f t="shared" si="4"/>
        <v>-10.013728412464959</v>
      </c>
    </row>
    <row r="28" spans="1:14" s="48" customFormat="1" ht="13.2">
      <c r="A28" s="49">
        <v>2.7199999999999998E-2</v>
      </c>
      <c r="B28" s="49">
        <v>2.9000000000000001E-2</v>
      </c>
      <c r="C28" s="49">
        <v>0.54300000000000004</v>
      </c>
      <c r="D28" s="49">
        <f>((1+A28)/(1+B28)-1)*C28</f>
        <v>-9.4985422740526788E-4</v>
      </c>
      <c r="E28" s="49">
        <f>D28-A28*C28</f>
        <v>-1.5719454227405269E-2</v>
      </c>
      <c r="F28" s="49">
        <v>0</v>
      </c>
      <c r="G28" s="50">
        <v>0</v>
      </c>
      <c r="H28" s="49">
        <f t="shared" si="6"/>
        <v>-3.9E-2</v>
      </c>
      <c r="I28" s="49">
        <f t="shared" si="0"/>
        <v>-3.2942739999999998E-2</v>
      </c>
      <c r="J28" s="51">
        <f t="shared" si="1"/>
        <v>-2.1105339999999997E-2</v>
      </c>
      <c r="K28" s="51">
        <f t="shared" si="28"/>
        <v>-9.4985422740526788E-4</v>
      </c>
      <c r="L28" s="51">
        <f>J28-K28</f>
        <v>-2.0155485772594729E-2</v>
      </c>
      <c r="M28" s="52">
        <f t="shared" si="3"/>
        <v>-23.325142437535753</v>
      </c>
      <c r="N28" s="52">
        <f t="shared" si="4"/>
        <v>-11.662571218767877</v>
      </c>
    </row>
    <row r="29" spans="1:14" s="48" customFormat="1" ht="13.2">
      <c r="A29" s="49">
        <v>4.7199999999999999E-2</v>
      </c>
      <c r="B29" s="49">
        <v>2.9000000000000001E-2</v>
      </c>
      <c r="C29" s="49">
        <v>0.54300000000000004</v>
      </c>
      <c r="D29" s="49">
        <f t="shared" ref="D29:D49" si="30">((1+A29)/(1+B29)-1)*C29</f>
        <v>9.604081632653097E-3</v>
      </c>
      <c r="E29" s="49">
        <f t="shared" ref="E29:E48" si="31">D29-A29*C29</f>
        <v>-1.6025518367346905E-2</v>
      </c>
      <c r="F29" s="49">
        <v>0</v>
      </c>
      <c r="G29" s="50">
        <v>0</v>
      </c>
      <c r="H29" s="49">
        <f t="shared" si="6"/>
        <v>-3.9E-2</v>
      </c>
      <c r="I29" s="49">
        <f t="shared" si="0"/>
        <v>-3.2942739999999998E-2</v>
      </c>
      <c r="J29" s="51">
        <f t="shared" si="1"/>
        <v>-2.1105339999999997E-2</v>
      </c>
      <c r="K29" s="51">
        <f t="shared" si="28"/>
        <v>9.604081632653097E-3</v>
      </c>
      <c r="L29" s="51">
        <f t="shared" ref="L29:L49" si="32">J29-K29</f>
        <v>-3.0709421632653094E-2</v>
      </c>
      <c r="M29" s="52">
        <f t="shared" si="3"/>
        <v>-35.538792854594725</v>
      </c>
      <c r="N29" s="52">
        <f t="shared" si="4"/>
        <v>-17.769396427297362</v>
      </c>
    </row>
    <row r="30" spans="1:14" s="48" customFormat="1" ht="13.2">
      <c r="A30" s="49">
        <v>7.1999999999999998E-3</v>
      </c>
      <c r="B30" s="49">
        <v>2.9000000000000001E-2</v>
      </c>
      <c r="C30" s="49">
        <v>0.54300000000000004</v>
      </c>
      <c r="D30" s="49">
        <f t="shared" si="30"/>
        <v>-1.1503790087463451E-2</v>
      </c>
      <c r="E30" s="49">
        <f t="shared" si="31"/>
        <v>-1.5413390087463452E-2</v>
      </c>
      <c r="F30" s="53">
        <v>0</v>
      </c>
      <c r="G30" s="50">
        <v>0</v>
      </c>
      <c r="H30" s="49">
        <f t="shared" si="6"/>
        <v>-3.9E-2</v>
      </c>
      <c r="I30" s="49">
        <f t="shared" si="0"/>
        <v>-3.2942739999999998E-2</v>
      </c>
      <c r="J30" s="51">
        <f t="shared" si="1"/>
        <v>-2.1105339999999997E-2</v>
      </c>
      <c r="K30" s="51">
        <f t="shared" si="28"/>
        <v>-1.1503790087463451E-2</v>
      </c>
      <c r="L30" s="51">
        <f t="shared" si="32"/>
        <v>-9.6015499125365455E-3</v>
      </c>
      <c r="M30" s="52">
        <f t="shared" si="3"/>
        <v>-11.111492020476993</v>
      </c>
      <c r="N30" s="52">
        <f t="shared" si="4"/>
        <v>-5.5557460102384963</v>
      </c>
    </row>
    <row r="31" spans="1:14" s="48" customFormat="1" ht="13.2">
      <c r="A31" s="49">
        <v>2.9000000000000001E-2</v>
      </c>
      <c r="B31" s="49">
        <v>2.9000000000000001E-2</v>
      </c>
      <c r="C31" s="49">
        <v>0.54300000000000004</v>
      </c>
      <c r="D31" s="49">
        <f t="shared" si="30"/>
        <v>0</v>
      </c>
      <c r="E31" s="49">
        <f t="shared" si="31"/>
        <v>-1.5747000000000001E-2</v>
      </c>
      <c r="F31" s="53">
        <v>0</v>
      </c>
      <c r="G31" s="50">
        <v>0</v>
      </c>
      <c r="H31" s="49">
        <f t="shared" si="6"/>
        <v>-3.9E-2</v>
      </c>
      <c r="I31" s="49">
        <f t="shared" si="0"/>
        <v>-3.2942739999999998E-2</v>
      </c>
      <c r="J31" s="51">
        <f t="shared" si="1"/>
        <v>-2.1105339999999997E-2</v>
      </c>
      <c r="K31" s="51">
        <f t="shared" si="28"/>
        <v>0</v>
      </c>
      <c r="L31" s="51">
        <f t="shared" si="32"/>
        <v>-2.1105339999999997E-2</v>
      </c>
      <c r="M31" s="52">
        <f t="shared" si="3"/>
        <v>-24.424370975071078</v>
      </c>
      <c r="N31" s="52">
        <f t="shared" si="4"/>
        <v>-12.212185487535539</v>
      </c>
    </row>
    <row r="32" spans="1:14" s="87" customFormat="1" ht="13.2">
      <c r="A32" s="83">
        <v>1.2200000000000001E-2</v>
      </c>
      <c r="B32" s="49">
        <v>2.9000000000000001E-2</v>
      </c>
      <c r="C32" s="83">
        <v>0.54300000000000004</v>
      </c>
      <c r="D32" s="83">
        <f t="shared" si="30"/>
        <v>-8.8653061224489658E-3</v>
      </c>
      <c r="E32" s="83">
        <f t="shared" si="31"/>
        <v>-1.5489906122448965E-2</v>
      </c>
      <c r="F32" s="84">
        <v>0</v>
      </c>
      <c r="G32" s="88">
        <f>$B$59/$B$53*1</f>
        <v>1.0118567119311046E-2</v>
      </c>
      <c r="H32" s="83">
        <f t="shared" si="6"/>
        <v>-2.8881432880688954E-2</v>
      </c>
      <c r="I32" s="83">
        <f t="shared" si="0"/>
        <v>-2.2824172880688956E-2</v>
      </c>
      <c r="J32" s="85">
        <f t="shared" si="1"/>
        <v>-1.0986772880688955E-2</v>
      </c>
      <c r="K32" s="85">
        <f t="shared" si="28"/>
        <v>-8.8653061224489658E-3</v>
      </c>
      <c r="L32" s="85">
        <f t="shared" si="32"/>
        <v>-2.1214667582399888E-3</v>
      </c>
      <c r="M32" s="86">
        <f t="shared" si="3"/>
        <v>-2.4550891440050209</v>
      </c>
      <c r="N32" s="86">
        <f t="shared" si="4"/>
        <v>-1.2275445720025104</v>
      </c>
    </row>
    <row r="33" spans="1:32" s="48" customFormat="1" ht="13.2">
      <c r="A33" s="49">
        <v>2.18E-2</v>
      </c>
      <c r="B33" s="49">
        <v>2.9000000000000001E-2</v>
      </c>
      <c r="C33" s="49">
        <v>0.54300000000000004</v>
      </c>
      <c r="D33" s="49">
        <f t="shared" si="30"/>
        <v>-3.7994169096209509E-3</v>
      </c>
      <c r="E33" s="49">
        <f t="shared" si="31"/>
        <v>-1.5636816909620953E-2</v>
      </c>
      <c r="F33" s="50">
        <v>0</v>
      </c>
      <c r="G33" s="53">
        <f t="shared" ref="G33:G37" si="33">$B$59/$B$53*1</f>
        <v>1.0118567119311046E-2</v>
      </c>
      <c r="H33" s="49">
        <f t="shared" si="6"/>
        <v>-2.8881432880688954E-2</v>
      </c>
      <c r="I33" s="49">
        <f t="shared" si="0"/>
        <v>-2.2824172880688956E-2</v>
      </c>
      <c r="J33" s="51">
        <f t="shared" si="1"/>
        <v>-1.0986772880688955E-2</v>
      </c>
      <c r="K33" s="51">
        <f t="shared" si="28"/>
        <v>-3.7994169096209509E-3</v>
      </c>
      <c r="L33" s="51">
        <f t="shared" si="32"/>
        <v>-7.1873559710680032E-3</v>
      </c>
      <c r="M33" s="52">
        <f t="shared" si="3"/>
        <v>-8.3176413441933263</v>
      </c>
      <c r="N33" s="52">
        <f t="shared" si="4"/>
        <v>-4.1588206720966632</v>
      </c>
    </row>
    <row r="34" spans="1:32" s="48" customFormat="1" ht="13.2">
      <c r="A34" s="49">
        <v>2.7199999999999998E-2</v>
      </c>
      <c r="B34" s="49">
        <v>2.9000000000000001E-2</v>
      </c>
      <c r="C34" s="49">
        <v>0.54300000000000004</v>
      </c>
      <c r="D34" s="49">
        <f t="shared" si="30"/>
        <v>-9.4985422740526788E-4</v>
      </c>
      <c r="E34" s="49">
        <f t="shared" si="31"/>
        <v>-1.5719454227405269E-2</v>
      </c>
      <c r="F34" s="49">
        <v>0</v>
      </c>
      <c r="G34" s="53">
        <f t="shared" si="33"/>
        <v>1.0118567119311046E-2</v>
      </c>
      <c r="H34" s="49">
        <f t="shared" si="6"/>
        <v>-2.8881432880688954E-2</v>
      </c>
      <c r="I34" s="49">
        <f t="shared" si="0"/>
        <v>-2.2824172880688956E-2</v>
      </c>
      <c r="J34" s="51">
        <f t="shared" si="1"/>
        <v>-1.0986772880688955E-2</v>
      </c>
      <c r="K34" s="51">
        <f t="shared" si="28"/>
        <v>-9.4985422740526788E-4</v>
      </c>
      <c r="L34" s="51">
        <f t="shared" si="32"/>
        <v>-1.0036918653283686E-2</v>
      </c>
      <c r="M34" s="52">
        <f t="shared" si="3"/>
        <v>-11.61532695679916</v>
      </c>
      <c r="N34" s="52">
        <f t="shared" si="4"/>
        <v>-5.8076634783995802</v>
      </c>
    </row>
    <row r="35" spans="1:32" s="48" customFormat="1" ht="13.2">
      <c r="A35" s="49">
        <v>4.7199999999999999E-2</v>
      </c>
      <c r="B35" s="49">
        <v>2.9000000000000001E-2</v>
      </c>
      <c r="C35" s="49">
        <v>0.54300000000000004</v>
      </c>
      <c r="D35" s="49">
        <f t="shared" si="30"/>
        <v>9.604081632653097E-3</v>
      </c>
      <c r="E35" s="49">
        <f t="shared" si="31"/>
        <v>-1.6025518367346905E-2</v>
      </c>
      <c r="F35" s="53">
        <v>0</v>
      </c>
      <c r="G35" s="53">
        <f t="shared" si="33"/>
        <v>1.0118567119311046E-2</v>
      </c>
      <c r="H35" s="49">
        <f t="shared" si="6"/>
        <v>-2.8881432880688954E-2</v>
      </c>
      <c r="I35" s="49">
        <f t="shared" si="0"/>
        <v>-2.2824172880688956E-2</v>
      </c>
      <c r="J35" s="51">
        <f t="shared" si="1"/>
        <v>-1.0986772880688955E-2</v>
      </c>
      <c r="K35" s="51">
        <f t="shared" si="28"/>
        <v>9.604081632653097E-3</v>
      </c>
      <c r="L35" s="51">
        <f t="shared" si="32"/>
        <v>-2.0590854513342052E-2</v>
      </c>
      <c r="M35" s="52">
        <f t="shared" si="3"/>
        <v>-23.82897737385813</v>
      </c>
      <c r="N35" s="52">
        <f t="shared" si="4"/>
        <v>-11.914488686929065</v>
      </c>
    </row>
    <row r="36" spans="1:32" s="82" customFormat="1" ht="13.2">
      <c r="A36" s="69">
        <v>7.1999999999999998E-3</v>
      </c>
      <c r="B36" s="49">
        <v>2.9000000000000001E-2</v>
      </c>
      <c r="C36" s="69">
        <v>0.54300000000000004</v>
      </c>
      <c r="D36" s="69">
        <f t="shared" si="30"/>
        <v>-1.1503790087463451E-2</v>
      </c>
      <c r="E36" s="69">
        <f t="shared" si="31"/>
        <v>-1.5413390087463452E-2</v>
      </c>
      <c r="F36" s="81">
        <v>0</v>
      </c>
      <c r="G36" s="53">
        <f t="shared" si="33"/>
        <v>1.0118567119311046E-2</v>
      </c>
      <c r="H36" s="69">
        <f t="shared" si="6"/>
        <v>-2.8881432880688954E-2</v>
      </c>
      <c r="I36" s="69">
        <f>H36-$D$66</f>
        <v>-2.2824172880688956E-2</v>
      </c>
      <c r="J36" s="71">
        <f t="shared" si="1"/>
        <v>-1.0986772880688955E-2</v>
      </c>
      <c r="K36" s="71">
        <f t="shared" si="28"/>
        <v>-1.1503790087463451E-2</v>
      </c>
      <c r="L36" s="71">
        <f t="shared" si="32"/>
        <v>5.1701720677449665E-4</v>
      </c>
      <c r="M36" s="72">
        <f>L36*$B$53*$B$60</f>
        <v>0.5983234602595997</v>
      </c>
      <c r="N36" s="72">
        <f t="shared" si="4"/>
        <v>0.29916173012979985</v>
      </c>
    </row>
    <row r="37" spans="1:32" s="93" customFormat="1" ht="13.8" thickBot="1">
      <c r="A37" s="89">
        <v>2.9000000000000001E-2</v>
      </c>
      <c r="B37" s="49">
        <v>2.9000000000000001E-2</v>
      </c>
      <c r="C37" s="89">
        <v>0.54300000000000004</v>
      </c>
      <c r="D37" s="89">
        <f t="shared" si="30"/>
        <v>0</v>
      </c>
      <c r="E37" s="89">
        <f t="shared" si="31"/>
        <v>-1.5747000000000001E-2</v>
      </c>
      <c r="F37" s="90">
        <v>0</v>
      </c>
      <c r="G37" s="90">
        <f t="shared" si="33"/>
        <v>1.0118567119311046E-2</v>
      </c>
      <c r="H37" s="89">
        <f t="shared" si="6"/>
        <v>-2.8881432880688954E-2</v>
      </c>
      <c r="I37" s="89">
        <f t="shared" si="0"/>
        <v>-2.2824172880688956E-2</v>
      </c>
      <c r="J37" s="91">
        <f t="shared" si="1"/>
        <v>-1.0986772880688955E-2</v>
      </c>
      <c r="K37" s="91">
        <f t="shared" si="28"/>
        <v>0</v>
      </c>
      <c r="L37" s="91">
        <f t="shared" si="32"/>
        <v>-1.0986772880688955E-2</v>
      </c>
      <c r="M37" s="92">
        <f t="shared" si="3"/>
        <v>-12.714555494334487</v>
      </c>
      <c r="N37" s="92">
        <f t="shared" si="4"/>
        <v>-6.3572777471672435</v>
      </c>
    </row>
    <row r="38" spans="1:32" s="82" customFormat="1" ht="16.2" customHeight="1">
      <c r="A38" s="69">
        <v>1.2200000000000001E-2</v>
      </c>
      <c r="B38" s="49">
        <v>2.9000000000000001E-2</v>
      </c>
      <c r="C38" s="69">
        <v>0.6</v>
      </c>
      <c r="D38" s="69">
        <f t="shared" si="30"/>
        <v>-9.7959183673469227E-3</v>
      </c>
      <c r="E38" s="69">
        <f t="shared" si="31"/>
        <v>-1.7115918367346925E-2</v>
      </c>
      <c r="F38" s="70">
        <v>0</v>
      </c>
      <c r="G38" s="70">
        <v>0</v>
      </c>
      <c r="H38" s="69">
        <f t="shared" si="6"/>
        <v>-3.9E-2</v>
      </c>
      <c r="I38" s="69">
        <f t="shared" si="0"/>
        <v>-3.2942739999999998E-2</v>
      </c>
      <c r="J38" s="71">
        <f t="shared" si="1"/>
        <v>-2.1105339999999997E-2</v>
      </c>
      <c r="K38" s="71">
        <f t="shared" si="28"/>
        <v>-9.7959183673469227E-3</v>
      </c>
      <c r="L38" s="71">
        <f t="shared" si="32"/>
        <v>-1.1309421632653074E-2</v>
      </c>
      <c r="M38" s="72">
        <f t="shared" si="3"/>
        <v>-13.08794406862968</v>
      </c>
      <c r="N38" s="72">
        <f t="shared" si="4"/>
        <v>-6.54397203431484</v>
      </c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</row>
    <row r="39" spans="1:32" s="151" customFormat="1" ht="13.2">
      <c r="A39" s="146">
        <v>2.18E-2</v>
      </c>
      <c r="B39" s="146">
        <v>2.9000000000000001E-2</v>
      </c>
      <c r="C39" s="147">
        <v>0.6</v>
      </c>
      <c r="D39" s="146">
        <f t="shared" si="30"/>
        <v>-4.1982507288629289E-3</v>
      </c>
      <c r="E39" s="146">
        <f t="shared" si="31"/>
        <v>-1.727825072886293E-2</v>
      </c>
      <c r="F39" s="148">
        <v>0</v>
      </c>
      <c r="G39" s="148">
        <v>0</v>
      </c>
      <c r="H39" s="146">
        <f t="shared" si="6"/>
        <v>-3.9E-2</v>
      </c>
      <c r="I39" s="146">
        <f t="shared" si="0"/>
        <v>-3.2942739999999998E-2</v>
      </c>
      <c r="J39" s="149">
        <f t="shared" si="1"/>
        <v>-2.1105339999999997E-2</v>
      </c>
      <c r="K39" s="149">
        <f t="shared" si="28"/>
        <v>-4.1982507288629289E-3</v>
      </c>
      <c r="L39" s="149">
        <f t="shared" si="32"/>
        <v>-1.6907089271137068E-2</v>
      </c>
      <c r="M39" s="150">
        <f t="shared" si="3"/>
        <v>-19.565902300881952</v>
      </c>
      <c r="N39" s="150">
        <f t="shared" si="4"/>
        <v>-9.7829511504409759</v>
      </c>
    </row>
    <row r="40" spans="1:32" s="48" customFormat="1" ht="13.2">
      <c r="A40" s="49">
        <v>2.7199999999999998E-2</v>
      </c>
      <c r="B40" s="49">
        <v>2.9000000000000001E-2</v>
      </c>
      <c r="C40" s="69">
        <v>0.6</v>
      </c>
      <c r="D40" s="49">
        <f t="shared" si="30"/>
        <v>-1.0495626822157654E-3</v>
      </c>
      <c r="E40" s="49">
        <f t="shared" si="31"/>
        <v>-1.7369562682215765E-2</v>
      </c>
      <c r="F40" s="49">
        <v>0</v>
      </c>
      <c r="G40" s="50">
        <v>0</v>
      </c>
      <c r="H40" s="49">
        <f t="shared" si="6"/>
        <v>-3.9E-2</v>
      </c>
      <c r="I40" s="49">
        <f t="shared" si="0"/>
        <v>-3.2942739999999998E-2</v>
      </c>
      <c r="J40" s="51">
        <f t="shared" si="1"/>
        <v>-2.1105339999999997E-2</v>
      </c>
      <c r="K40" s="51">
        <f t="shared" si="28"/>
        <v>-1.0495626822157654E-3</v>
      </c>
      <c r="L40" s="51">
        <f t="shared" si="32"/>
        <v>-2.005577731778423E-2</v>
      </c>
      <c r="M40" s="52">
        <f t="shared" si="3"/>
        <v>-23.209753806523757</v>
      </c>
      <c r="N40" s="52">
        <f t="shared" si="4"/>
        <v>-11.604876903261879</v>
      </c>
    </row>
    <row r="41" spans="1:32" s="48" customFormat="1" ht="13.2">
      <c r="A41" s="49">
        <v>4.7199999999999999E-2</v>
      </c>
      <c r="B41" s="49">
        <v>2.9000000000000001E-2</v>
      </c>
      <c r="C41" s="69">
        <v>0.6</v>
      </c>
      <c r="D41" s="49">
        <f t="shared" si="30"/>
        <v>1.0612244897959222E-2</v>
      </c>
      <c r="E41" s="49">
        <f t="shared" si="31"/>
        <v>-1.7707755102040777E-2</v>
      </c>
      <c r="F41" s="49">
        <v>0</v>
      </c>
      <c r="G41" s="50">
        <v>0</v>
      </c>
      <c r="H41" s="49">
        <f t="shared" si="6"/>
        <v>-3.9E-2</v>
      </c>
      <c r="I41" s="49">
        <f t="shared" si="0"/>
        <v>-3.2942739999999998E-2</v>
      </c>
      <c r="J41" s="51">
        <f t="shared" si="1"/>
        <v>-2.1105339999999997E-2</v>
      </c>
      <c r="K41" s="51">
        <f t="shared" si="28"/>
        <v>1.0612244897959222E-2</v>
      </c>
      <c r="L41" s="51">
        <f t="shared" si="32"/>
        <v>-3.1717584897959221E-2</v>
      </c>
      <c r="M41" s="52">
        <f t="shared" si="3"/>
        <v>-36.705500123715993</v>
      </c>
      <c r="N41" s="52">
        <f t="shared" si="4"/>
        <v>-18.352750061857996</v>
      </c>
    </row>
    <row r="42" spans="1:32" s="48" customFormat="1" ht="13.2">
      <c r="A42" s="49">
        <v>7.1999999999999998E-3</v>
      </c>
      <c r="B42" s="49">
        <v>2.9000000000000001E-2</v>
      </c>
      <c r="C42" s="69">
        <v>0.6</v>
      </c>
      <c r="D42" s="49">
        <f t="shared" si="30"/>
        <v>-1.2711370262390553E-2</v>
      </c>
      <c r="E42" s="49">
        <f t="shared" si="31"/>
        <v>-1.7031370262390554E-2</v>
      </c>
      <c r="F42" s="53">
        <v>0</v>
      </c>
      <c r="G42" s="50">
        <v>0</v>
      </c>
      <c r="H42" s="49">
        <f t="shared" si="6"/>
        <v>-3.9E-2</v>
      </c>
      <c r="I42" s="49">
        <f t="shared" si="0"/>
        <v>-3.2942739999999998E-2</v>
      </c>
      <c r="J42" s="51">
        <f t="shared" si="1"/>
        <v>-2.1105339999999997E-2</v>
      </c>
      <c r="K42" s="51">
        <f t="shared" si="28"/>
        <v>-1.2711370262390553E-2</v>
      </c>
      <c r="L42" s="51">
        <f t="shared" si="32"/>
        <v>-8.3939697376094434E-3</v>
      </c>
      <c r="M42" s="52">
        <f t="shared" si="3"/>
        <v>-9.7140074893317578</v>
      </c>
      <c r="N42" s="52">
        <f t="shared" si="4"/>
        <v>-4.8570037446658789</v>
      </c>
    </row>
    <row r="43" spans="1:32" s="78" customFormat="1" ht="13.2">
      <c r="A43" s="74">
        <v>2.9000000000000001E-2</v>
      </c>
      <c r="B43" s="49">
        <v>2.9000000000000001E-2</v>
      </c>
      <c r="C43" s="74">
        <v>0.6</v>
      </c>
      <c r="D43" s="74">
        <f t="shared" si="30"/>
        <v>0</v>
      </c>
      <c r="E43" s="74">
        <f t="shared" si="31"/>
        <v>-1.7399999999999999E-2</v>
      </c>
      <c r="F43" s="75">
        <v>0</v>
      </c>
      <c r="G43" s="94">
        <v>0</v>
      </c>
      <c r="H43" s="74">
        <f t="shared" si="6"/>
        <v>-3.9E-2</v>
      </c>
      <c r="I43" s="74">
        <f t="shared" si="0"/>
        <v>-3.2942739999999998E-2</v>
      </c>
      <c r="J43" s="76">
        <f t="shared" si="1"/>
        <v>-2.1105339999999997E-2</v>
      </c>
      <c r="K43" s="76">
        <f t="shared" si="28"/>
        <v>0</v>
      </c>
      <c r="L43" s="76">
        <f t="shared" si="32"/>
        <v>-2.1105339999999997E-2</v>
      </c>
      <c r="M43" s="77">
        <f t="shared" si="3"/>
        <v>-24.424370975071078</v>
      </c>
      <c r="N43" s="77">
        <f t="shared" si="4"/>
        <v>-12.212185487535539</v>
      </c>
    </row>
    <row r="44" spans="1:32" s="48" customFormat="1" ht="13.2">
      <c r="A44" s="49">
        <v>1.2200000000000001E-2</v>
      </c>
      <c r="B44" s="49">
        <v>2.9000000000000001E-2</v>
      </c>
      <c r="C44" s="69">
        <v>0.6</v>
      </c>
      <c r="D44" s="49">
        <f t="shared" si="30"/>
        <v>-9.7959183673469227E-3</v>
      </c>
      <c r="E44" s="49">
        <f t="shared" si="31"/>
        <v>-1.7115918367346925E-2</v>
      </c>
      <c r="F44" s="50">
        <v>0</v>
      </c>
      <c r="G44" s="53">
        <f>$B$59/$B$53*1</f>
        <v>1.0118567119311046E-2</v>
      </c>
      <c r="H44" s="49">
        <f t="shared" si="6"/>
        <v>-2.8881432880688954E-2</v>
      </c>
      <c r="I44" s="49">
        <f t="shared" si="0"/>
        <v>-2.2824172880688956E-2</v>
      </c>
      <c r="J44" s="51">
        <f t="shared" si="1"/>
        <v>-1.0986772880688955E-2</v>
      </c>
      <c r="K44" s="51">
        <f t="shared" si="28"/>
        <v>-9.7959183673469227E-3</v>
      </c>
      <c r="L44" s="51">
        <f t="shared" si="32"/>
        <v>-1.1908545133420319E-3</v>
      </c>
      <c r="M44" s="52">
        <f t="shared" si="3"/>
        <v>-1.3781285878930889</v>
      </c>
      <c r="N44" s="52">
        <f t="shared" si="4"/>
        <v>-0.68906429394654445</v>
      </c>
    </row>
    <row r="45" spans="1:32" s="48" customFormat="1" ht="13.2">
      <c r="A45" s="49">
        <v>2.18E-2</v>
      </c>
      <c r="B45" s="49">
        <v>2.9000000000000001E-2</v>
      </c>
      <c r="C45" s="69">
        <v>0.6</v>
      </c>
      <c r="D45" s="49">
        <f t="shared" si="30"/>
        <v>-4.1982507288629289E-3</v>
      </c>
      <c r="E45" s="49">
        <f t="shared" si="31"/>
        <v>-1.727825072886293E-2</v>
      </c>
      <c r="F45" s="50">
        <v>0</v>
      </c>
      <c r="G45" s="53">
        <f t="shared" ref="G45:G49" si="34">$B$59/$B$53*1</f>
        <v>1.0118567119311046E-2</v>
      </c>
      <c r="H45" s="49">
        <f t="shared" si="6"/>
        <v>-2.8881432880688954E-2</v>
      </c>
      <c r="I45" s="49">
        <f t="shared" si="0"/>
        <v>-2.2824172880688956E-2</v>
      </c>
      <c r="J45" s="51">
        <f t="shared" si="1"/>
        <v>-1.0986772880688955E-2</v>
      </c>
      <c r="K45" s="51">
        <f t="shared" si="28"/>
        <v>-4.1982507288629289E-3</v>
      </c>
      <c r="L45" s="51">
        <f t="shared" si="32"/>
        <v>-6.7885221518260257E-3</v>
      </c>
      <c r="M45" s="52">
        <f t="shared" si="3"/>
        <v>-7.85608682014536</v>
      </c>
      <c r="N45" s="52">
        <f t="shared" si="4"/>
        <v>-3.92804341007268</v>
      </c>
    </row>
    <row r="46" spans="1:32" s="48" customFormat="1" ht="13.2">
      <c r="A46" s="49">
        <v>2.7199999999999998E-2</v>
      </c>
      <c r="B46" s="49">
        <v>2.9000000000000001E-2</v>
      </c>
      <c r="C46" s="69">
        <v>0.6</v>
      </c>
      <c r="D46" s="49">
        <f t="shared" si="30"/>
        <v>-1.0495626822157654E-3</v>
      </c>
      <c r="E46" s="49">
        <f t="shared" si="31"/>
        <v>-1.7369562682215765E-2</v>
      </c>
      <c r="F46" s="49">
        <v>0</v>
      </c>
      <c r="G46" s="53">
        <f t="shared" si="34"/>
        <v>1.0118567119311046E-2</v>
      </c>
      <c r="H46" s="49">
        <f t="shared" si="6"/>
        <v>-2.8881432880688954E-2</v>
      </c>
      <c r="I46" s="49">
        <f t="shared" si="0"/>
        <v>-2.2824172880688956E-2</v>
      </c>
      <c r="J46" s="51">
        <f t="shared" si="1"/>
        <v>-1.0986772880688955E-2</v>
      </c>
      <c r="K46" s="51">
        <f t="shared" si="28"/>
        <v>-1.0495626822157654E-3</v>
      </c>
      <c r="L46" s="51">
        <f t="shared" si="32"/>
        <v>-9.9372101984731894E-3</v>
      </c>
      <c r="M46" s="52">
        <f t="shared" si="3"/>
        <v>-11.499938325787168</v>
      </c>
      <c r="N46" s="52">
        <f t="shared" si="4"/>
        <v>-5.7499691628935841</v>
      </c>
    </row>
    <row r="47" spans="1:32" s="48" customFormat="1" ht="13.2">
      <c r="A47" s="49">
        <v>4.7199999999999999E-2</v>
      </c>
      <c r="B47" s="49">
        <v>2.9000000000000001E-2</v>
      </c>
      <c r="C47" s="69">
        <v>0.6</v>
      </c>
      <c r="D47" s="49">
        <f t="shared" si="30"/>
        <v>1.0612244897959222E-2</v>
      </c>
      <c r="E47" s="49">
        <f t="shared" si="31"/>
        <v>-1.7707755102040777E-2</v>
      </c>
      <c r="F47" s="53">
        <v>0</v>
      </c>
      <c r="G47" s="53">
        <f t="shared" si="34"/>
        <v>1.0118567119311046E-2</v>
      </c>
      <c r="H47" s="49">
        <f t="shared" si="6"/>
        <v>-2.8881432880688954E-2</v>
      </c>
      <c r="I47" s="49">
        <f t="shared" si="0"/>
        <v>-2.2824172880688956E-2</v>
      </c>
      <c r="J47" s="51">
        <f t="shared" si="1"/>
        <v>-1.0986772880688955E-2</v>
      </c>
      <c r="K47" s="51">
        <f t="shared" si="28"/>
        <v>1.0612244897959222E-2</v>
      </c>
      <c r="L47" s="51">
        <f t="shared" si="32"/>
        <v>-2.1599017778648179E-2</v>
      </c>
      <c r="M47" s="52">
        <f t="shared" si="3"/>
        <v>-24.995684642979398</v>
      </c>
      <c r="N47" s="52">
        <f t="shared" si="4"/>
        <v>-12.497842321489699</v>
      </c>
    </row>
    <row r="48" spans="1:32" s="48" customFormat="1" ht="13.2">
      <c r="A48" s="49">
        <v>7.1999999999999998E-3</v>
      </c>
      <c r="B48" s="49">
        <v>2.9000000000000001E-2</v>
      </c>
      <c r="C48" s="69">
        <v>0.6</v>
      </c>
      <c r="D48" s="49">
        <f t="shared" si="30"/>
        <v>-1.2711370262390553E-2</v>
      </c>
      <c r="E48" s="49">
        <f t="shared" si="31"/>
        <v>-1.7031370262390554E-2</v>
      </c>
      <c r="F48" s="53">
        <v>0</v>
      </c>
      <c r="G48" s="53">
        <f t="shared" si="34"/>
        <v>1.0118567119311046E-2</v>
      </c>
      <c r="H48" s="49">
        <f t="shared" si="6"/>
        <v>-2.8881432880688954E-2</v>
      </c>
      <c r="I48" s="49">
        <f t="shared" si="0"/>
        <v>-2.2824172880688956E-2</v>
      </c>
      <c r="J48" s="51">
        <f t="shared" si="1"/>
        <v>-1.0986772880688955E-2</v>
      </c>
      <c r="K48" s="51">
        <f t="shared" si="28"/>
        <v>-1.2711370262390553E-2</v>
      </c>
      <c r="L48" s="51">
        <f t="shared" si="32"/>
        <v>1.7245973817015987E-3</v>
      </c>
      <c r="M48" s="52">
        <f t="shared" si="3"/>
        <v>1.9958079914048348</v>
      </c>
      <c r="N48" s="52">
        <f t="shared" si="4"/>
        <v>0.99790399570241739</v>
      </c>
    </row>
    <row r="49" spans="1:17" s="78" customFormat="1" ht="13.2">
      <c r="A49" s="74">
        <v>2.9000000000000001E-2</v>
      </c>
      <c r="B49" s="49">
        <v>2.9000000000000001E-2</v>
      </c>
      <c r="C49" s="74">
        <v>0.6</v>
      </c>
      <c r="D49" s="74">
        <f t="shared" si="30"/>
        <v>0</v>
      </c>
      <c r="E49" s="74">
        <f>D49-A49*C49</f>
        <v>-1.7399999999999999E-2</v>
      </c>
      <c r="F49" s="75">
        <v>0</v>
      </c>
      <c r="G49" s="75">
        <f t="shared" si="34"/>
        <v>1.0118567119311046E-2</v>
      </c>
      <c r="H49" s="74">
        <f t="shared" si="6"/>
        <v>-2.8881432880688954E-2</v>
      </c>
      <c r="I49" s="74">
        <f t="shared" si="0"/>
        <v>-2.2824172880688956E-2</v>
      </c>
      <c r="J49" s="76">
        <f t="shared" si="1"/>
        <v>-1.0986772880688955E-2</v>
      </c>
      <c r="K49" s="76">
        <f t="shared" si="28"/>
        <v>0</v>
      </c>
      <c r="L49" s="76">
        <f t="shared" si="32"/>
        <v>-1.0986772880688955E-2</v>
      </c>
      <c r="M49" s="77">
        <f t="shared" si="3"/>
        <v>-12.714555494334487</v>
      </c>
      <c r="N49" s="77">
        <f t="shared" si="4"/>
        <v>-6.3572777471672435</v>
      </c>
    </row>
    <row r="50" spans="1:17" ht="13.2">
      <c r="F50" s="32"/>
      <c r="G50" s="32"/>
      <c r="H50" s="33"/>
      <c r="I50" s="33"/>
    </row>
    <row r="51" spans="1:17" ht="13.2">
      <c r="F51" s="32"/>
      <c r="G51" s="32"/>
      <c r="H51" s="33"/>
      <c r="I51" s="33"/>
    </row>
    <row r="52" spans="1:17" ht="13.2">
      <c r="A52" s="34" t="s">
        <v>73</v>
      </c>
      <c r="B52" s="35"/>
      <c r="C52" s="35"/>
      <c r="F52" s="32"/>
      <c r="G52" s="32"/>
      <c r="H52" s="33"/>
      <c r="I52" s="33"/>
      <c r="Q52" s="7" t="s">
        <v>74</v>
      </c>
    </row>
    <row r="53" spans="1:17" ht="15.75" customHeight="1">
      <c r="A53" s="34" t="s">
        <v>75</v>
      </c>
      <c r="B53" s="95">
        <v>1077.22762239701</v>
      </c>
      <c r="C53" s="36"/>
      <c r="D53" s="59">
        <f>BBP_dv!$H$10</f>
        <v>0</v>
      </c>
      <c r="F53" s="32"/>
      <c r="G53" s="32"/>
      <c r="H53" s="33"/>
      <c r="I53" s="33"/>
      <c r="Q53" s="31">
        <f>MAX(M2:M6)</f>
        <v>-7.5458141364011082</v>
      </c>
    </row>
    <row r="54" spans="1:17" ht="13.2">
      <c r="A54" s="34" t="s">
        <v>76</v>
      </c>
      <c r="B54" s="37">
        <v>-3.9E-2</v>
      </c>
      <c r="C54" s="37"/>
      <c r="F54" s="32"/>
      <c r="G54" s="32"/>
      <c r="H54" s="33"/>
      <c r="I54" s="33"/>
      <c r="Q54" s="31">
        <f>MAX(M8:M12)</f>
        <v>4.1640013443354844</v>
      </c>
    </row>
    <row r="55" spans="1:17" ht="13.2">
      <c r="A55" s="34" t="s">
        <v>77</v>
      </c>
      <c r="B55" s="37">
        <v>2.18E-2</v>
      </c>
      <c r="C55" s="37"/>
      <c r="D55" s="7" t="s">
        <v>78</v>
      </c>
      <c r="E55" s="7"/>
      <c r="F55" s="32"/>
      <c r="G55" s="32"/>
      <c r="H55" s="33"/>
      <c r="I55" s="33"/>
    </row>
    <row r="56" spans="1:17" ht="13.2">
      <c r="A56" s="34" t="s">
        <v>79</v>
      </c>
      <c r="B56" s="37">
        <f>B54+B55*B57</f>
        <v>-2.7162599999999999E-2</v>
      </c>
      <c r="C56" s="37"/>
      <c r="F56" s="32"/>
      <c r="G56" s="32"/>
      <c r="H56" s="33"/>
      <c r="I56" s="33"/>
    </row>
    <row r="57" spans="1:17" ht="13.2">
      <c r="A57" s="34" t="s">
        <v>80</v>
      </c>
      <c r="B57" s="39">
        <v>0.54300000000000004</v>
      </c>
      <c r="C57" s="38"/>
      <c r="D57" s="10"/>
      <c r="E57" s="10"/>
      <c r="F57" s="32"/>
      <c r="G57" s="32"/>
      <c r="H57" s="33"/>
      <c r="I57" s="33"/>
    </row>
    <row r="58" spans="1:17" ht="13.2">
      <c r="A58" s="34" t="s">
        <v>81</v>
      </c>
      <c r="B58" s="39">
        <v>0.5</v>
      </c>
      <c r="C58" s="39"/>
      <c r="F58" s="32"/>
      <c r="G58" s="32"/>
      <c r="H58" s="33"/>
      <c r="I58" s="33"/>
    </row>
    <row r="59" spans="1:17" ht="13.2">
      <c r="A59" s="34" t="s">
        <v>82</v>
      </c>
      <c r="B59" s="34">
        <v>10.9</v>
      </c>
      <c r="C59" s="34" t="s">
        <v>83</v>
      </c>
      <c r="F59" s="32"/>
      <c r="G59" s="32"/>
      <c r="H59" s="33"/>
      <c r="I59" s="33"/>
    </row>
    <row r="60" spans="1:17" ht="13.2">
      <c r="A60" s="34" t="s">
        <v>173</v>
      </c>
      <c r="B60" s="79">
        <f>BBP_dv!G22</f>
        <v>1.0742949982327152</v>
      </c>
      <c r="C60" s="34"/>
      <c r="F60" s="32"/>
      <c r="G60" s="32"/>
      <c r="H60" s="33"/>
      <c r="I60" s="33"/>
    </row>
    <row r="61" spans="1:17" ht="13.8">
      <c r="A61" s="34" t="s">
        <v>174</v>
      </c>
      <c r="B61" s="56">
        <v>1249.0917909233201</v>
      </c>
      <c r="F61" s="32"/>
      <c r="G61" s="32"/>
      <c r="H61" s="33"/>
      <c r="I61" s="33"/>
    </row>
    <row r="62" spans="1:17" ht="13.2">
      <c r="F62" s="32"/>
      <c r="G62" s="32"/>
      <c r="H62" s="33"/>
      <c r="I62" s="33"/>
    </row>
    <row r="63" spans="1:17" ht="13.2">
      <c r="F63" s="32"/>
      <c r="G63" s="32"/>
      <c r="H63" s="33"/>
      <c r="I63" s="33"/>
    </row>
    <row r="64" spans="1:17" ht="13.2">
      <c r="B64" s="63" t="s">
        <v>165</v>
      </c>
      <c r="C64" s="67">
        <v>0.60499999999999998</v>
      </c>
      <c r="F64" s="32"/>
      <c r="G64" s="32"/>
      <c r="H64" s="33"/>
      <c r="I64" s="33"/>
    </row>
    <row r="65" spans="2:9" ht="13.2">
      <c r="B65" s="63" t="s">
        <v>166</v>
      </c>
      <c r="C65">
        <v>-1.0012000000000001</v>
      </c>
      <c r="F65" s="32"/>
      <c r="G65" s="32"/>
      <c r="H65" s="33"/>
      <c r="I65" s="33"/>
    </row>
    <row r="66" spans="2:9" ht="13.2">
      <c r="B66" s="63" t="s">
        <v>167</v>
      </c>
      <c r="C66">
        <f>C64*C65</f>
        <v>-0.60572599999999999</v>
      </c>
      <c r="D66" s="58">
        <v>-6.0572600000000001E-3</v>
      </c>
      <c r="F66" s="32"/>
      <c r="G66" s="32"/>
      <c r="H66" s="33"/>
      <c r="I66" s="33"/>
    </row>
    <row r="67" spans="2:9" ht="13.2">
      <c r="B67" s="63" t="s">
        <v>168</v>
      </c>
      <c r="C67" s="58">
        <f>H2-D66</f>
        <v>-3.2942739999999998E-2</v>
      </c>
      <c r="F67" s="32"/>
      <c r="G67" s="32"/>
      <c r="H67" s="33"/>
      <c r="I67" s="33"/>
    </row>
    <row r="68" spans="2:9" ht="13.2">
      <c r="F68" s="32"/>
      <c r="G68" s="32"/>
      <c r="H68" s="33"/>
      <c r="I68" s="33"/>
    </row>
    <row r="69" spans="2:9" ht="13.2">
      <c r="B69" s="63" t="s">
        <v>169</v>
      </c>
      <c r="C69" s="58">
        <f>-0.5%-C67</f>
        <v>2.7942739999999997E-2</v>
      </c>
      <c r="D69">
        <f>($B$53*$B$60)*C69</f>
        <v>32.337022185852383</v>
      </c>
      <c r="F69" s="32"/>
      <c r="G69" s="32"/>
      <c r="H69" s="33"/>
      <c r="I69" s="33"/>
    </row>
    <row r="70" spans="2:9" ht="13.2">
      <c r="B70" s="63" t="s">
        <v>170</v>
      </c>
      <c r="C70" s="58">
        <f>-1%-C67</f>
        <v>2.2942739999999996E-2</v>
      </c>
      <c r="D70" s="54">
        <f>($B$53*$B$60)*C70</f>
        <v>26.55072095235624</v>
      </c>
      <c r="F70" s="32"/>
      <c r="G70" s="32"/>
      <c r="H70" s="33"/>
      <c r="I70" s="33"/>
    </row>
    <row r="71" spans="2:9" ht="13.2">
      <c r="F71" s="32"/>
      <c r="G71" s="32"/>
      <c r="H71" s="33"/>
      <c r="I71" s="33"/>
    </row>
    <row r="72" spans="2:9" ht="13.2">
      <c r="F72" s="32"/>
      <c r="G72" s="32"/>
      <c r="H72" s="33"/>
      <c r="I72" s="33"/>
    </row>
    <row r="73" spans="2:9" ht="13.2">
      <c r="F73" s="32"/>
      <c r="G73" s="32"/>
      <c r="H73" s="33"/>
      <c r="I73" s="33"/>
    </row>
    <row r="74" spans="2:9" ht="13.2">
      <c r="F74" s="32"/>
      <c r="G74" s="32"/>
      <c r="H74" s="33"/>
      <c r="I74" s="33"/>
    </row>
    <row r="75" spans="2:9" ht="13.2">
      <c r="F75" s="32"/>
      <c r="G75" s="32"/>
      <c r="H75" s="33"/>
      <c r="I75" s="33"/>
    </row>
    <row r="76" spans="2:9" ht="13.2">
      <c r="F76" s="32"/>
      <c r="G76" s="32"/>
      <c r="H76" s="33"/>
      <c r="I76" s="33"/>
    </row>
    <row r="77" spans="2:9" ht="13.2">
      <c r="F77" s="32"/>
      <c r="G77" s="32"/>
      <c r="H77" s="33"/>
      <c r="I77" s="33"/>
    </row>
    <row r="78" spans="2:9" ht="13.2">
      <c r="F78" s="32"/>
      <c r="G78" s="32"/>
      <c r="H78" s="33"/>
      <c r="I78" s="33"/>
    </row>
    <row r="79" spans="2:9" ht="13.2">
      <c r="F79" s="32"/>
      <c r="G79" s="32"/>
      <c r="H79" s="33"/>
      <c r="I79" s="33"/>
    </row>
    <row r="80" spans="2:9" ht="13.2">
      <c r="F80" s="32"/>
      <c r="G80" s="32"/>
      <c r="H80" s="33"/>
      <c r="I80" s="33"/>
    </row>
    <row r="81" spans="6:9" ht="13.2">
      <c r="F81" s="32"/>
      <c r="G81" s="32"/>
      <c r="H81" s="33"/>
      <c r="I81" s="33"/>
    </row>
    <row r="82" spans="6:9" ht="13.2">
      <c r="F82" s="32"/>
      <c r="G82" s="32"/>
      <c r="H82" s="33"/>
      <c r="I82" s="33"/>
    </row>
    <row r="83" spans="6:9" ht="13.2">
      <c r="F83" s="32"/>
      <c r="G83" s="32"/>
      <c r="H83" s="33"/>
      <c r="I83" s="33"/>
    </row>
    <row r="84" spans="6:9" ht="13.2">
      <c r="F84" s="32"/>
      <c r="G84" s="32"/>
      <c r="H84" s="33"/>
      <c r="I84" s="33"/>
    </row>
    <row r="85" spans="6:9" ht="13.2">
      <c r="F85" s="32"/>
      <c r="G85" s="32"/>
      <c r="H85" s="33"/>
      <c r="I85" s="33"/>
    </row>
    <row r="86" spans="6:9" ht="13.2">
      <c r="F86" s="32"/>
      <c r="G86" s="32"/>
      <c r="H86" s="33"/>
      <c r="I86" s="33"/>
    </row>
    <row r="87" spans="6:9" ht="13.2">
      <c r="F87" s="32"/>
      <c r="G87" s="32"/>
      <c r="H87" s="33"/>
      <c r="I87" s="33"/>
    </row>
    <row r="88" spans="6:9" ht="13.2">
      <c r="F88" s="32"/>
      <c r="G88" s="32"/>
      <c r="H88" s="33"/>
      <c r="I88" s="33"/>
    </row>
    <row r="89" spans="6:9" ht="13.2">
      <c r="F89" s="32"/>
      <c r="G89" s="32"/>
      <c r="H89" s="33"/>
      <c r="I89" s="33"/>
    </row>
    <row r="90" spans="6:9" ht="13.2">
      <c r="F90" s="32"/>
      <c r="G90" s="32"/>
      <c r="H90" s="33"/>
      <c r="I90" s="33"/>
    </row>
    <row r="91" spans="6:9" ht="13.2">
      <c r="F91" s="32"/>
      <c r="G91" s="32"/>
      <c r="H91" s="33"/>
      <c r="I91" s="33"/>
    </row>
    <row r="92" spans="6:9" ht="13.2">
      <c r="F92" s="32"/>
      <c r="G92" s="32"/>
      <c r="H92" s="33"/>
      <c r="I92" s="33"/>
    </row>
    <row r="93" spans="6:9" ht="13.2">
      <c r="F93" s="32"/>
      <c r="G93" s="32"/>
      <c r="H93" s="33"/>
      <c r="I93" s="33"/>
    </row>
    <row r="94" spans="6:9" ht="13.2">
      <c r="F94" s="32"/>
      <c r="G94" s="32"/>
      <c r="H94" s="33"/>
      <c r="I94" s="33"/>
    </row>
    <row r="95" spans="6:9" ht="13.2">
      <c r="F95" s="32"/>
      <c r="G95" s="32"/>
      <c r="H95" s="33"/>
      <c r="I95" s="33"/>
    </row>
    <row r="96" spans="6:9" ht="13.2">
      <c r="F96" s="32"/>
      <c r="G96" s="32"/>
      <c r="H96" s="33"/>
      <c r="I96" s="33"/>
    </row>
    <row r="97" spans="6:9" ht="13.2">
      <c r="F97" s="32"/>
      <c r="G97" s="32"/>
      <c r="H97" s="33"/>
      <c r="I97" s="33"/>
    </row>
    <row r="98" spans="6:9" ht="13.2">
      <c r="F98" s="32"/>
      <c r="G98" s="32"/>
      <c r="H98" s="33"/>
      <c r="I98" s="33"/>
    </row>
    <row r="99" spans="6:9" ht="13.2">
      <c r="F99" s="32"/>
      <c r="G99" s="32"/>
      <c r="H99" s="33"/>
      <c r="I99" s="33"/>
    </row>
    <row r="100" spans="6:9" ht="13.2">
      <c r="F100" s="32"/>
      <c r="G100" s="32"/>
      <c r="H100" s="33"/>
      <c r="I100" s="33"/>
    </row>
    <row r="101" spans="6:9" ht="13.2">
      <c r="F101" s="32"/>
      <c r="G101" s="32"/>
      <c r="H101" s="33"/>
      <c r="I101" s="33"/>
    </row>
    <row r="102" spans="6:9" ht="13.2">
      <c r="F102" s="32"/>
      <c r="G102" s="32"/>
      <c r="H102" s="33"/>
      <c r="I102" s="33"/>
    </row>
    <row r="103" spans="6:9" ht="13.2">
      <c r="F103" s="32"/>
      <c r="G103" s="32"/>
      <c r="H103" s="33"/>
      <c r="I103" s="33"/>
    </row>
    <row r="104" spans="6:9" ht="13.2">
      <c r="F104" s="32"/>
      <c r="G104" s="32"/>
      <c r="H104" s="33"/>
      <c r="I104" s="33"/>
    </row>
    <row r="105" spans="6:9" ht="13.2">
      <c r="F105" s="32"/>
      <c r="G105" s="32"/>
      <c r="H105" s="33"/>
      <c r="I105" s="33"/>
    </row>
    <row r="106" spans="6:9" ht="13.2">
      <c r="F106" s="32"/>
      <c r="G106" s="32"/>
      <c r="H106" s="33"/>
      <c r="I106" s="33"/>
    </row>
    <row r="107" spans="6:9" ht="13.2">
      <c r="F107" s="32"/>
      <c r="G107" s="32"/>
      <c r="H107" s="33"/>
      <c r="I107" s="33"/>
    </row>
    <row r="108" spans="6:9" ht="13.2">
      <c r="F108" s="32"/>
      <c r="G108" s="32"/>
      <c r="H108" s="33"/>
      <c r="I108" s="33"/>
    </row>
    <row r="109" spans="6:9" ht="13.2">
      <c r="F109" s="32"/>
      <c r="G109" s="32"/>
      <c r="H109" s="33"/>
      <c r="I109" s="33"/>
    </row>
    <row r="110" spans="6:9" ht="13.2">
      <c r="F110" s="32"/>
      <c r="G110" s="32"/>
      <c r="H110" s="33"/>
      <c r="I110" s="33"/>
    </row>
    <row r="111" spans="6:9" ht="13.2">
      <c r="F111" s="32"/>
      <c r="G111" s="32"/>
      <c r="H111" s="33"/>
      <c r="I111" s="33"/>
    </row>
    <row r="112" spans="6:9" ht="13.2">
      <c r="F112" s="32"/>
      <c r="G112" s="32"/>
      <c r="H112" s="33"/>
      <c r="I112" s="33"/>
    </row>
    <row r="113" spans="6:9" ht="13.2">
      <c r="F113" s="32"/>
      <c r="G113" s="32"/>
      <c r="H113" s="33"/>
      <c r="I113" s="33"/>
    </row>
    <row r="114" spans="6:9" ht="13.2">
      <c r="F114" s="32"/>
      <c r="G114" s="32"/>
      <c r="H114" s="33"/>
      <c r="I114" s="33"/>
    </row>
    <row r="115" spans="6:9" ht="13.2">
      <c r="F115" s="32"/>
      <c r="G115" s="32"/>
      <c r="H115" s="33"/>
      <c r="I115" s="33"/>
    </row>
    <row r="116" spans="6:9" ht="13.2">
      <c r="F116" s="32"/>
      <c r="G116" s="32"/>
      <c r="H116" s="33"/>
      <c r="I116" s="33"/>
    </row>
    <row r="117" spans="6:9" ht="13.2">
      <c r="F117" s="32"/>
      <c r="G117" s="32"/>
      <c r="H117" s="33"/>
      <c r="I117" s="33"/>
    </row>
    <row r="118" spans="6:9" ht="13.2">
      <c r="F118" s="32"/>
      <c r="G118" s="32"/>
      <c r="H118" s="33"/>
      <c r="I118" s="33"/>
    </row>
    <row r="119" spans="6:9" ht="13.2">
      <c r="F119" s="32"/>
      <c r="G119" s="32"/>
      <c r="H119" s="33"/>
      <c r="I119" s="33"/>
    </row>
    <row r="120" spans="6:9" ht="13.2">
      <c r="F120" s="32"/>
      <c r="G120" s="32"/>
      <c r="H120" s="33"/>
      <c r="I120" s="33"/>
    </row>
    <row r="121" spans="6:9" ht="13.2">
      <c r="F121" s="32"/>
      <c r="G121" s="32"/>
      <c r="H121" s="33"/>
      <c r="I121" s="33"/>
    </row>
    <row r="122" spans="6:9" ht="13.2">
      <c r="F122" s="32"/>
      <c r="G122" s="32"/>
      <c r="H122" s="33"/>
      <c r="I122" s="33"/>
    </row>
    <row r="123" spans="6:9" ht="13.2">
      <c r="F123" s="32"/>
      <c r="G123" s="32"/>
      <c r="H123" s="33"/>
      <c r="I123" s="33"/>
    </row>
    <row r="124" spans="6:9" ht="13.2">
      <c r="F124" s="32"/>
      <c r="G124" s="32"/>
      <c r="H124" s="33"/>
      <c r="I124" s="33"/>
    </row>
    <row r="125" spans="6:9" ht="13.2">
      <c r="F125" s="32"/>
      <c r="G125" s="32"/>
      <c r="H125" s="33"/>
      <c r="I125" s="33"/>
    </row>
    <row r="126" spans="6:9" ht="13.2">
      <c r="F126" s="32"/>
      <c r="G126" s="32"/>
      <c r="H126" s="33"/>
      <c r="I126" s="33"/>
    </row>
    <row r="127" spans="6:9" ht="13.2">
      <c r="F127" s="32"/>
      <c r="G127" s="32"/>
      <c r="H127" s="33"/>
      <c r="I127" s="33"/>
    </row>
    <row r="128" spans="6:9" ht="13.2">
      <c r="F128" s="32"/>
      <c r="G128" s="32"/>
      <c r="H128" s="33"/>
      <c r="I128" s="33"/>
    </row>
    <row r="129" spans="6:9" ht="13.2">
      <c r="F129" s="32"/>
      <c r="G129" s="32"/>
      <c r="H129" s="33"/>
      <c r="I129" s="33"/>
    </row>
    <row r="130" spans="6:9" ht="13.2">
      <c r="F130" s="32"/>
      <c r="G130" s="32"/>
      <c r="H130" s="33"/>
      <c r="I130" s="33"/>
    </row>
    <row r="131" spans="6:9" ht="13.2">
      <c r="F131" s="32"/>
      <c r="G131" s="32"/>
      <c r="H131" s="33"/>
      <c r="I131" s="33"/>
    </row>
    <row r="132" spans="6:9" ht="13.2">
      <c r="F132" s="32"/>
      <c r="G132" s="32"/>
      <c r="H132" s="33"/>
      <c r="I132" s="33"/>
    </row>
    <row r="133" spans="6:9" ht="13.2">
      <c r="F133" s="32"/>
      <c r="G133" s="32"/>
      <c r="H133" s="33"/>
      <c r="I133" s="33"/>
    </row>
    <row r="134" spans="6:9" ht="13.2">
      <c r="F134" s="32"/>
      <c r="G134" s="32"/>
      <c r="H134" s="33"/>
      <c r="I134" s="33"/>
    </row>
    <row r="135" spans="6:9" ht="13.2">
      <c r="F135" s="32"/>
      <c r="G135" s="32"/>
      <c r="H135" s="33"/>
      <c r="I135" s="33"/>
    </row>
    <row r="136" spans="6:9" ht="13.2">
      <c r="F136" s="32"/>
      <c r="G136" s="32"/>
      <c r="H136" s="33"/>
      <c r="I136" s="33"/>
    </row>
    <row r="137" spans="6:9" ht="13.2">
      <c r="F137" s="32"/>
      <c r="G137" s="32"/>
      <c r="H137" s="33"/>
      <c r="I137" s="33"/>
    </row>
    <row r="138" spans="6:9" ht="13.2">
      <c r="F138" s="32"/>
      <c r="G138" s="32"/>
      <c r="H138" s="33"/>
      <c r="I138" s="33"/>
    </row>
    <row r="139" spans="6:9" ht="13.2">
      <c r="F139" s="32"/>
      <c r="G139" s="32"/>
      <c r="H139" s="33"/>
      <c r="I139" s="33"/>
    </row>
    <row r="140" spans="6:9" ht="13.2">
      <c r="F140" s="32"/>
      <c r="G140" s="32"/>
      <c r="H140" s="33"/>
      <c r="I140" s="33"/>
    </row>
    <row r="141" spans="6:9" ht="13.2">
      <c r="F141" s="32"/>
      <c r="G141" s="32"/>
      <c r="H141" s="33"/>
      <c r="I141" s="33"/>
    </row>
    <row r="142" spans="6:9" ht="13.2">
      <c r="F142" s="32"/>
      <c r="G142" s="32"/>
      <c r="H142" s="33"/>
      <c r="I142" s="33"/>
    </row>
    <row r="143" spans="6:9" ht="13.2">
      <c r="F143" s="32"/>
      <c r="G143" s="32"/>
      <c r="H143" s="33"/>
      <c r="I143" s="33"/>
    </row>
    <row r="144" spans="6:9" ht="13.2">
      <c r="F144" s="32"/>
      <c r="G144" s="32"/>
      <c r="H144" s="33"/>
      <c r="I144" s="33"/>
    </row>
    <row r="145" spans="6:9" ht="13.2">
      <c r="F145" s="32"/>
      <c r="G145" s="32"/>
      <c r="H145" s="33"/>
      <c r="I145" s="33"/>
    </row>
    <row r="146" spans="6:9" ht="13.2">
      <c r="F146" s="32"/>
      <c r="G146" s="32"/>
      <c r="H146" s="33"/>
      <c r="I146" s="33"/>
    </row>
    <row r="147" spans="6:9" ht="13.2">
      <c r="F147" s="32"/>
      <c r="G147" s="32"/>
      <c r="H147" s="33"/>
      <c r="I147" s="33"/>
    </row>
    <row r="148" spans="6:9" ht="13.2">
      <c r="F148" s="32"/>
      <c r="G148" s="32"/>
      <c r="H148" s="33"/>
      <c r="I148" s="33"/>
    </row>
    <row r="149" spans="6:9" ht="13.2">
      <c r="F149" s="32"/>
      <c r="G149" s="32"/>
      <c r="H149" s="33"/>
      <c r="I149" s="33"/>
    </row>
    <row r="150" spans="6:9" ht="13.2">
      <c r="F150" s="32"/>
      <c r="G150" s="32"/>
      <c r="H150" s="33"/>
      <c r="I150" s="33"/>
    </row>
    <row r="151" spans="6:9" ht="13.2">
      <c r="F151" s="32"/>
      <c r="G151" s="32"/>
      <c r="H151" s="33"/>
      <c r="I151" s="33"/>
    </row>
    <row r="152" spans="6:9" ht="13.2">
      <c r="F152" s="32"/>
      <c r="G152" s="32"/>
      <c r="H152" s="33"/>
      <c r="I152" s="33"/>
    </row>
    <row r="153" spans="6:9" ht="13.2">
      <c r="F153" s="32"/>
      <c r="G153" s="32"/>
      <c r="H153" s="33"/>
      <c r="I153" s="33"/>
    </row>
    <row r="154" spans="6:9" ht="13.2">
      <c r="F154" s="32"/>
      <c r="G154" s="32"/>
      <c r="H154" s="33"/>
      <c r="I154" s="33"/>
    </row>
    <row r="155" spans="6:9" ht="13.2">
      <c r="F155" s="32"/>
      <c r="G155" s="32"/>
      <c r="H155" s="33"/>
      <c r="I155" s="33"/>
    </row>
    <row r="156" spans="6:9" ht="13.2">
      <c r="F156" s="32"/>
      <c r="G156" s="32"/>
      <c r="H156" s="33"/>
      <c r="I156" s="33"/>
    </row>
    <row r="157" spans="6:9" ht="13.2">
      <c r="F157" s="32"/>
      <c r="G157" s="32"/>
      <c r="H157" s="33"/>
      <c r="I157" s="33"/>
    </row>
    <row r="158" spans="6:9" ht="13.2">
      <c r="F158" s="32"/>
      <c r="G158" s="32"/>
      <c r="H158" s="33"/>
      <c r="I158" s="33"/>
    </row>
    <row r="159" spans="6:9" ht="13.2">
      <c r="F159" s="32"/>
      <c r="G159" s="32"/>
      <c r="H159" s="33"/>
      <c r="I159" s="33"/>
    </row>
    <row r="160" spans="6:9" ht="13.2">
      <c r="F160" s="32"/>
      <c r="G160" s="32"/>
      <c r="H160" s="33"/>
      <c r="I160" s="33"/>
    </row>
    <row r="161" spans="6:9" ht="13.2">
      <c r="F161" s="32"/>
      <c r="G161" s="32"/>
      <c r="H161" s="33"/>
      <c r="I161" s="33"/>
    </row>
    <row r="162" spans="6:9" ht="13.2">
      <c r="F162" s="32"/>
      <c r="G162" s="32"/>
      <c r="H162" s="33"/>
      <c r="I162" s="33"/>
    </row>
    <row r="163" spans="6:9" ht="13.2">
      <c r="F163" s="32"/>
      <c r="G163" s="32"/>
      <c r="H163" s="33"/>
      <c r="I163" s="33"/>
    </row>
    <row r="164" spans="6:9" ht="13.2">
      <c r="F164" s="32"/>
      <c r="G164" s="32"/>
      <c r="H164" s="33"/>
      <c r="I164" s="33"/>
    </row>
    <row r="165" spans="6:9" ht="13.2">
      <c r="F165" s="32"/>
      <c r="G165" s="32"/>
      <c r="H165" s="33"/>
      <c r="I165" s="33"/>
    </row>
    <row r="166" spans="6:9" ht="13.2">
      <c r="F166" s="32"/>
      <c r="G166" s="32"/>
      <c r="H166" s="33"/>
      <c r="I166" s="33"/>
    </row>
    <row r="167" spans="6:9" ht="13.2">
      <c r="F167" s="32"/>
      <c r="G167" s="32"/>
      <c r="H167" s="33"/>
      <c r="I167" s="33"/>
    </row>
    <row r="168" spans="6:9" ht="13.2">
      <c r="F168" s="32"/>
      <c r="G168" s="32"/>
      <c r="H168" s="33"/>
      <c r="I168" s="33"/>
    </row>
    <row r="169" spans="6:9" ht="13.2">
      <c r="F169" s="32"/>
      <c r="G169" s="32"/>
      <c r="H169" s="33"/>
      <c r="I169" s="33"/>
    </row>
    <row r="170" spans="6:9" ht="13.2">
      <c r="F170" s="32"/>
      <c r="G170" s="32"/>
      <c r="H170" s="33"/>
      <c r="I170" s="33"/>
    </row>
    <row r="171" spans="6:9" ht="13.2">
      <c r="F171" s="32"/>
      <c r="G171" s="32"/>
      <c r="H171" s="33"/>
      <c r="I171" s="33"/>
    </row>
    <row r="172" spans="6:9" ht="13.2">
      <c r="F172" s="32"/>
      <c r="G172" s="32"/>
      <c r="H172" s="33"/>
      <c r="I172" s="33"/>
    </row>
    <row r="173" spans="6:9" ht="13.2">
      <c r="F173" s="32"/>
      <c r="G173" s="32"/>
      <c r="H173" s="33"/>
      <c r="I173" s="33"/>
    </row>
    <row r="174" spans="6:9" ht="13.2">
      <c r="F174" s="32"/>
      <c r="G174" s="32"/>
      <c r="H174" s="33"/>
      <c r="I174" s="33"/>
    </row>
    <row r="175" spans="6:9" ht="13.2">
      <c r="F175" s="32"/>
      <c r="G175" s="32"/>
      <c r="H175" s="33"/>
      <c r="I175" s="33"/>
    </row>
    <row r="176" spans="6:9" ht="13.2">
      <c r="F176" s="32"/>
      <c r="G176" s="32"/>
      <c r="H176" s="33"/>
      <c r="I176" s="33"/>
    </row>
    <row r="177" spans="6:9" ht="13.2">
      <c r="F177" s="32"/>
      <c r="G177" s="32"/>
      <c r="H177" s="33"/>
      <c r="I177" s="33"/>
    </row>
    <row r="178" spans="6:9" ht="13.2">
      <c r="F178" s="32"/>
      <c r="G178" s="32"/>
      <c r="H178" s="33"/>
      <c r="I178" s="33"/>
    </row>
    <row r="179" spans="6:9" ht="13.2">
      <c r="F179" s="32"/>
      <c r="G179" s="32"/>
      <c r="H179" s="33"/>
      <c r="I179" s="33"/>
    </row>
    <row r="180" spans="6:9" ht="13.2">
      <c r="F180" s="32"/>
      <c r="G180" s="32"/>
      <c r="H180" s="33"/>
      <c r="I180" s="33"/>
    </row>
    <row r="181" spans="6:9" ht="13.2">
      <c r="F181" s="32"/>
      <c r="G181" s="32"/>
      <c r="H181" s="33"/>
      <c r="I181" s="33"/>
    </row>
    <row r="182" spans="6:9" ht="13.2">
      <c r="F182" s="32"/>
      <c r="G182" s="32"/>
      <c r="H182" s="33"/>
      <c r="I182" s="33"/>
    </row>
    <row r="183" spans="6:9" ht="13.2">
      <c r="F183" s="32"/>
      <c r="G183" s="32"/>
      <c r="H183" s="33"/>
      <c r="I183" s="33"/>
    </row>
    <row r="184" spans="6:9" ht="13.2">
      <c r="F184" s="32"/>
      <c r="G184" s="32"/>
      <c r="H184" s="33"/>
      <c r="I184" s="33"/>
    </row>
    <row r="185" spans="6:9" ht="13.2">
      <c r="F185" s="32"/>
      <c r="G185" s="32"/>
      <c r="H185" s="33"/>
      <c r="I185" s="33"/>
    </row>
    <row r="186" spans="6:9" ht="13.2">
      <c r="F186" s="32"/>
      <c r="G186" s="32"/>
      <c r="H186" s="33"/>
      <c r="I186" s="33"/>
    </row>
    <row r="187" spans="6:9" ht="13.2">
      <c r="F187" s="32"/>
      <c r="G187" s="32"/>
      <c r="H187" s="33"/>
      <c r="I187" s="33"/>
    </row>
    <row r="188" spans="6:9" ht="13.2">
      <c r="F188" s="32"/>
      <c r="G188" s="32"/>
      <c r="H188" s="33"/>
      <c r="I188" s="33"/>
    </row>
    <row r="189" spans="6:9" ht="13.2">
      <c r="F189" s="32"/>
      <c r="G189" s="32"/>
      <c r="H189" s="33"/>
      <c r="I189" s="33"/>
    </row>
    <row r="190" spans="6:9" ht="13.2">
      <c r="F190" s="32"/>
      <c r="G190" s="32"/>
      <c r="H190" s="33"/>
      <c r="I190" s="33"/>
    </row>
    <row r="191" spans="6:9" ht="13.2">
      <c r="F191" s="32"/>
      <c r="G191" s="32"/>
      <c r="H191" s="33"/>
      <c r="I191" s="33"/>
    </row>
    <row r="192" spans="6:9" ht="13.2">
      <c r="F192" s="32"/>
      <c r="G192" s="32"/>
      <c r="H192" s="33"/>
      <c r="I192" s="33"/>
    </row>
    <row r="193" spans="6:9" ht="13.2">
      <c r="F193" s="32"/>
      <c r="G193" s="32"/>
      <c r="H193" s="33"/>
      <c r="I193" s="33"/>
    </row>
    <row r="194" spans="6:9" ht="13.2">
      <c r="F194" s="32"/>
      <c r="G194" s="32"/>
      <c r="H194" s="33"/>
      <c r="I194" s="33"/>
    </row>
    <row r="195" spans="6:9" ht="13.2">
      <c r="F195" s="32"/>
      <c r="G195" s="32"/>
      <c r="H195" s="33"/>
      <c r="I195" s="33"/>
    </row>
    <row r="196" spans="6:9" ht="13.2">
      <c r="F196" s="32"/>
      <c r="G196" s="32"/>
      <c r="H196" s="33"/>
      <c r="I196" s="33"/>
    </row>
    <row r="197" spans="6:9" ht="13.2">
      <c r="F197" s="32"/>
      <c r="G197" s="32"/>
      <c r="H197" s="33"/>
      <c r="I197" s="33"/>
    </row>
    <row r="198" spans="6:9" ht="13.2">
      <c r="F198" s="32"/>
      <c r="G198" s="32"/>
      <c r="H198" s="33"/>
      <c r="I198" s="33"/>
    </row>
    <row r="199" spans="6:9" ht="13.2">
      <c r="F199" s="32"/>
      <c r="G199" s="32"/>
      <c r="H199" s="33"/>
      <c r="I199" s="33"/>
    </row>
    <row r="200" spans="6:9" ht="13.2">
      <c r="F200" s="32"/>
      <c r="G200" s="32"/>
      <c r="H200" s="33"/>
      <c r="I200" s="33"/>
    </row>
    <row r="201" spans="6:9" ht="13.2">
      <c r="F201" s="32"/>
      <c r="G201" s="32"/>
      <c r="H201" s="33"/>
      <c r="I201" s="33"/>
    </row>
    <row r="202" spans="6:9" ht="13.2">
      <c r="F202" s="32"/>
      <c r="G202" s="32"/>
      <c r="H202" s="33"/>
      <c r="I202" s="33"/>
    </row>
    <row r="203" spans="6:9" ht="13.2">
      <c r="F203" s="32"/>
      <c r="G203" s="32"/>
      <c r="H203" s="33"/>
      <c r="I203" s="33"/>
    </row>
    <row r="204" spans="6:9" ht="13.2">
      <c r="F204" s="32"/>
      <c r="G204" s="32"/>
      <c r="H204" s="33"/>
      <c r="I204" s="33"/>
    </row>
    <row r="205" spans="6:9" ht="13.2">
      <c r="F205" s="32"/>
      <c r="G205" s="32"/>
      <c r="H205" s="33"/>
      <c r="I205" s="33"/>
    </row>
    <row r="206" spans="6:9" ht="13.2">
      <c r="F206" s="32"/>
      <c r="G206" s="32"/>
      <c r="H206" s="33"/>
      <c r="I206" s="33"/>
    </row>
    <row r="207" spans="6:9" ht="13.2">
      <c r="F207" s="32"/>
      <c r="G207" s="32"/>
      <c r="H207" s="33"/>
      <c r="I207" s="33"/>
    </row>
    <row r="208" spans="6:9" ht="13.2">
      <c r="F208" s="32"/>
      <c r="G208" s="32"/>
      <c r="H208" s="33"/>
      <c r="I208" s="33"/>
    </row>
    <row r="209" spans="6:9" ht="13.2">
      <c r="F209" s="32"/>
      <c r="G209" s="32"/>
      <c r="H209" s="33"/>
      <c r="I209" s="33"/>
    </row>
    <row r="210" spans="6:9" ht="13.2">
      <c r="F210" s="32"/>
      <c r="G210" s="32"/>
      <c r="H210" s="33"/>
      <c r="I210" s="33"/>
    </row>
    <row r="211" spans="6:9" ht="13.2">
      <c r="F211" s="32"/>
      <c r="G211" s="32"/>
      <c r="H211" s="33"/>
      <c r="I211" s="33"/>
    </row>
    <row r="212" spans="6:9" ht="13.2">
      <c r="F212" s="32"/>
      <c r="G212" s="32"/>
      <c r="H212" s="33"/>
      <c r="I212" s="33"/>
    </row>
    <row r="213" spans="6:9" ht="13.2">
      <c r="F213" s="32"/>
      <c r="G213" s="32"/>
      <c r="H213" s="33"/>
      <c r="I213" s="33"/>
    </row>
    <row r="214" spans="6:9" ht="13.2">
      <c r="F214" s="32"/>
      <c r="G214" s="32"/>
      <c r="H214" s="33"/>
      <c r="I214" s="33"/>
    </row>
    <row r="215" spans="6:9" ht="13.2">
      <c r="F215" s="32"/>
      <c r="G215" s="32"/>
      <c r="H215" s="33"/>
      <c r="I215" s="33"/>
    </row>
    <row r="216" spans="6:9" ht="13.2">
      <c r="F216" s="32"/>
      <c r="G216" s="32"/>
      <c r="H216" s="33"/>
      <c r="I216" s="33"/>
    </row>
    <row r="217" spans="6:9" ht="13.2">
      <c r="F217" s="32"/>
      <c r="G217" s="32"/>
      <c r="H217" s="33"/>
      <c r="I217" s="33"/>
    </row>
    <row r="218" spans="6:9" ht="13.2">
      <c r="F218" s="32"/>
      <c r="G218" s="32"/>
      <c r="H218" s="33"/>
      <c r="I218" s="33"/>
    </row>
    <row r="219" spans="6:9" ht="13.2">
      <c r="F219" s="32"/>
      <c r="G219" s="32"/>
      <c r="H219" s="33"/>
      <c r="I219" s="33"/>
    </row>
    <row r="220" spans="6:9" ht="13.2">
      <c r="F220" s="32"/>
      <c r="G220" s="32"/>
      <c r="H220" s="33"/>
      <c r="I220" s="33"/>
    </row>
    <row r="221" spans="6:9" ht="13.2">
      <c r="F221" s="32"/>
      <c r="G221" s="32"/>
      <c r="H221" s="33"/>
      <c r="I221" s="33"/>
    </row>
    <row r="222" spans="6:9" ht="13.2">
      <c r="F222" s="32"/>
      <c r="G222" s="32"/>
      <c r="H222" s="33"/>
      <c r="I222" s="33"/>
    </row>
    <row r="223" spans="6:9" ht="13.2">
      <c r="F223" s="32"/>
      <c r="G223" s="32"/>
      <c r="H223" s="33"/>
      <c r="I223" s="33"/>
    </row>
    <row r="224" spans="6:9" ht="13.2">
      <c r="F224" s="32"/>
      <c r="G224" s="32"/>
      <c r="H224" s="33"/>
      <c r="I224" s="33"/>
    </row>
    <row r="225" spans="6:9" ht="13.2">
      <c r="F225" s="32"/>
      <c r="G225" s="32"/>
      <c r="H225" s="33"/>
      <c r="I225" s="33"/>
    </row>
    <row r="226" spans="6:9" ht="13.2">
      <c r="F226" s="32"/>
      <c r="G226" s="32"/>
      <c r="H226" s="33"/>
      <c r="I226" s="33"/>
    </row>
    <row r="227" spans="6:9" ht="13.2">
      <c r="F227" s="32"/>
      <c r="G227" s="32"/>
      <c r="H227" s="33"/>
      <c r="I227" s="33"/>
    </row>
    <row r="228" spans="6:9" ht="13.2">
      <c r="F228" s="32"/>
      <c r="G228" s="32"/>
      <c r="H228" s="33"/>
      <c r="I228" s="33"/>
    </row>
    <row r="229" spans="6:9" ht="13.2">
      <c r="F229" s="32"/>
      <c r="G229" s="32"/>
      <c r="H229" s="33"/>
      <c r="I229" s="33"/>
    </row>
    <row r="230" spans="6:9" ht="13.2">
      <c r="F230" s="32"/>
      <c r="G230" s="32"/>
      <c r="H230" s="33"/>
      <c r="I230" s="33"/>
    </row>
    <row r="231" spans="6:9" ht="13.2">
      <c r="F231" s="32"/>
      <c r="G231" s="32"/>
      <c r="H231" s="33"/>
      <c r="I231" s="33"/>
    </row>
    <row r="232" spans="6:9" ht="13.2">
      <c r="F232" s="32"/>
      <c r="G232" s="32"/>
      <c r="H232" s="33"/>
      <c r="I232" s="33"/>
    </row>
    <row r="233" spans="6:9" ht="13.2">
      <c r="F233" s="32"/>
      <c r="G233" s="32"/>
      <c r="H233" s="33"/>
      <c r="I233" s="33"/>
    </row>
    <row r="234" spans="6:9" ht="13.2">
      <c r="F234" s="32"/>
      <c r="G234" s="32"/>
      <c r="H234" s="33"/>
      <c r="I234" s="33"/>
    </row>
    <row r="235" spans="6:9" ht="13.2">
      <c r="F235" s="32"/>
      <c r="G235" s="32"/>
      <c r="H235" s="33"/>
      <c r="I235" s="33"/>
    </row>
    <row r="236" spans="6:9" ht="13.2">
      <c r="F236" s="32"/>
      <c r="G236" s="32"/>
      <c r="H236" s="33"/>
      <c r="I236" s="33"/>
    </row>
    <row r="237" spans="6:9" ht="13.2">
      <c r="F237" s="32"/>
      <c r="G237" s="32"/>
      <c r="H237" s="33"/>
      <c r="I237" s="33"/>
    </row>
    <row r="238" spans="6:9" ht="13.2">
      <c r="F238" s="32"/>
      <c r="G238" s="32"/>
      <c r="H238" s="33"/>
      <c r="I238" s="33"/>
    </row>
    <row r="239" spans="6:9" ht="13.2">
      <c r="F239" s="32"/>
      <c r="G239" s="32"/>
      <c r="H239" s="33"/>
      <c r="I239" s="33"/>
    </row>
    <row r="240" spans="6:9" ht="13.2">
      <c r="F240" s="32"/>
      <c r="G240" s="32"/>
      <c r="H240" s="33"/>
      <c r="I240" s="33"/>
    </row>
    <row r="241" spans="6:9" ht="13.2">
      <c r="F241" s="32"/>
      <c r="G241" s="32"/>
      <c r="H241" s="33"/>
      <c r="I241" s="33"/>
    </row>
    <row r="242" spans="6:9" ht="13.2">
      <c r="F242" s="32"/>
      <c r="G242" s="32"/>
      <c r="H242" s="33"/>
      <c r="I242" s="33"/>
    </row>
    <row r="243" spans="6:9" ht="13.2">
      <c r="F243" s="32"/>
      <c r="G243" s="32"/>
      <c r="H243" s="33"/>
      <c r="I243" s="33"/>
    </row>
    <row r="244" spans="6:9" ht="13.2">
      <c r="F244" s="32"/>
      <c r="G244" s="32"/>
      <c r="H244" s="33"/>
      <c r="I244" s="33"/>
    </row>
    <row r="245" spans="6:9" ht="13.2">
      <c r="F245" s="32"/>
      <c r="G245" s="32"/>
      <c r="H245" s="33"/>
      <c r="I245" s="33"/>
    </row>
    <row r="246" spans="6:9" ht="13.2">
      <c r="F246" s="32"/>
      <c r="G246" s="32"/>
      <c r="H246" s="33"/>
      <c r="I246" s="33"/>
    </row>
    <row r="247" spans="6:9" ht="13.2">
      <c r="F247" s="32"/>
      <c r="G247" s="32"/>
      <c r="H247" s="33"/>
      <c r="I247" s="33"/>
    </row>
    <row r="248" spans="6:9" ht="13.2">
      <c r="F248" s="32"/>
      <c r="G248" s="32"/>
      <c r="H248" s="33"/>
      <c r="I248" s="33"/>
    </row>
    <row r="249" spans="6:9" ht="13.2">
      <c r="F249" s="32"/>
      <c r="G249" s="32"/>
      <c r="H249" s="33"/>
      <c r="I249" s="33"/>
    </row>
    <row r="250" spans="6:9" ht="13.2">
      <c r="F250" s="32"/>
      <c r="G250" s="32"/>
      <c r="H250" s="33"/>
      <c r="I250" s="33"/>
    </row>
    <row r="251" spans="6:9" ht="13.2">
      <c r="F251" s="32"/>
      <c r="G251" s="32"/>
      <c r="H251" s="33"/>
      <c r="I251" s="33"/>
    </row>
    <row r="252" spans="6:9" ht="13.2">
      <c r="F252" s="32"/>
      <c r="G252" s="32"/>
      <c r="H252" s="33"/>
      <c r="I252" s="33"/>
    </row>
    <row r="253" spans="6:9" ht="13.2">
      <c r="F253" s="32"/>
      <c r="G253" s="32"/>
      <c r="H253" s="33"/>
      <c r="I253" s="33"/>
    </row>
    <row r="254" spans="6:9" ht="13.2">
      <c r="F254" s="32"/>
      <c r="G254" s="32"/>
      <c r="H254" s="33"/>
      <c r="I254" s="33"/>
    </row>
    <row r="255" spans="6:9" ht="13.2">
      <c r="F255" s="32"/>
      <c r="G255" s="32"/>
      <c r="H255" s="33"/>
      <c r="I255" s="33"/>
    </row>
    <row r="256" spans="6:9" ht="13.2">
      <c r="F256" s="32"/>
      <c r="G256" s="32"/>
      <c r="H256" s="33"/>
      <c r="I256" s="33"/>
    </row>
    <row r="257" spans="6:9" ht="13.2">
      <c r="F257" s="32"/>
      <c r="G257" s="32"/>
      <c r="H257" s="33"/>
      <c r="I257" s="33"/>
    </row>
    <row r="258" spans="6:9" ht="13.2">
      <c r="F258" s="32"/>
      <c r="G258" s="32"/>
      <c r="H258" s="33"/>
      <c r="I258" s="33"/>
    </row>
    <row r="259" spans="6:9" ht="13.2">
      <c r="F259" s="32"/>
      <c r="G259" s="32"/>
      <c r="H259" s="33"/>
      <c r="I259" s="33"/>
    </row>
    <row r="260" spans="6:9" ht="13.2">
      <c r="F260" s="32"/>
      <c r="G260" s="32"/>
      <c r="H260" s="33"/>
      <c r="I260" s="33"/>
    </row>
    <row r="261" spans="6:9" ht="13.2">
      <c r="F261" s="32"/>
      <c r="G261" s="32"/>
      <c r="H261" s="33"/>
      <c r="I261" s="33"/>
    </row>
    <row r="262" spans="6:9" ht="13.2">
      <c r="F262" s="32"/>
      <c r="G262" s="32"/>
      <c r="H262" s="33"/>
      <c r="I262" s="33"/>
    </row>
    <row r="263" spans="6:9" ht="13.2">
      <c r="F263" s="32"/>
      <c r="G263" s="32"/>
      <c r="H263" s="33"/>
      <c r="I263" s="33"/>
    </row>
    <row r="264" spans="6:9" ht="13.2">
      <c r="F264" s="32"/>
      <c r="G264" s="32"/>
      <c r="H264" s="33"/>
      <c r="I264" s="33"/>
    </row>
    <row r="265" spans="6:9" ht="13.2">
      <c r="F265" s="32"/>
      <c r="G265" s="32"/>
      <c r="H265" s="33"/>
      <c r="I265" s="33"/>
    </row>
    <row r="266" spans="6:9" ht="13.2">
      <c r="F266" s="32"/>
      <c r="G266" s="32"/>
      <c r="H266" s="33"/>
      <c r="I266" s="33"/>
    </row>
    <row r="267" spans="6:9" ht="13.2">
      <c r="F267" s="32"/>
      <c r="G267" s="32"/>
      <c r="H267" s="33"/>
      <c r="I267" s="33"/>
    </row>
    <row r="268" spans="6:9" ht="13.2">
      <c r="F268" s="32"/>
      <c r="G268" s="32"/>
      <c r="H268" s="33"/>
      <c r="I268" s="33"/>
    </row>
    <row r="269" spans="6:9" ht="13.2">
      <c r="F269" s="32"/>
      <c r="G269" s="32"/>
      <c r="H269" s="33"/>
      <c r="I269" s="33"/>
    </row>
    <row r="270" spans="6:9" ht="13.2">
      <c r="F270" s="32"/>
      <c r="G270" s="32"/>
      <c r="H270" s="33"/>
      <c r="I270" s="33"/>
    </row>
    <row r="271" spans="6:9" ht="13.2">
      <c r="F271" s="32"/>
      <c r="G271" s="32"/>
      <c r="H271" s="33"/>
      <c r="I271" s="33"/>
    </row>
    <row r="272" spans="6:9" ht="13.2">
      <c r="F272" s="32"/>
      <c r="G272" s="32"/>
      <c r="H272" s="33"/>
      <c r="I272" s="33"/>
    </row>
    <row r="273" spans="6:9" ht="13.2">
      <c r="F273" s="32"/>
      <c r="G273" s="32"/>
      <c r="H273" s="33"/>
      <c r="I273" s="33"/>
    </row>
    <row r="274" spans="6:9" ht="13.2">
      <c r="F274" s="32"/>
      <c r="G274" s="32"/>
      <c r="H274" s="33"/>
      <c r="I274" s="33"/>
    </row>
    <row r="275" spans="6:9" ht="13.2">
      <c r="F275" s="32"/>
      <c r="G275" s="32"/>
      <c r="H275" s="33"/>
      <c r="I275" s="33"/>
    </row>
    <row r="276" spans="6:9" ht="13.2">
      <c r="F276" s="32"/>
      <c r="G276" s="32"/>
      <c r="H276" s="33"/>
      <c r="I276" s="33"/>
    </row>
    <row r="277" spans="6:9" ht="13.2">
      <c r="F277" s="32"/>
      <c r="G277" s="32"/>
      <c r="H277" s="33"/>
      <c r="I277" s="33"/>
    </row>
    <row r="278" spans="6:9" ht="13.2">
      <c r="F278" s="32"/>
      <c r="G278" s="32"/>
      <c r="H278" s="33"/>
      <c r="I278" s="33"/>
    </row>
    <row r="279" spans="6:9" ht="13.2">
      <c r="F279" s="32"/>
      <c r="G279" s="32"/>
      <c r="H279" s="33"/>
      <c r="I279" s="33"/>
    </row>
    <row r="280" spans="6:9" ht="13.2">
      <c r="F280" s="32"/>
      <c r="G280" s="32"/>
      <c r="H280" s="33"/>
      <c r="I280" s="33"/>
    </row>
    <row r="281" spans="6:9" ht="13.2">
      <c r="F281" s="32"/>
      <c r="G281" s="32"/>
      <c r="H281" s="33"/>
      <c r="I281" s="33"/>
    </row>
    <row r="282" spans="6:9" ht="13.2">
      <c r="F282" s="32"/>
      <c r="G282" s="32"/>
      <c r="H282" s="33"/>
      <c r="I282" s="33"/>
    </row>
    <row r="283" spans="6:9" ht="13.2">
      <c r="F283" s="32"/>
      <c r="G283" s="32"/>
      <c r="H283" s="33"/>
      <c r="I283" s="33"/>
    </row>
    <row r="284" spans="6:9" ht="13.2">
      <c r="F284" s="32"/>
      <c r="G284" s="32"/>
      <c r="H284" s="33"/>
      <c r="I284" s="33"/>
    </row>
    <row r="285" spans="6:9" ht="13.2">
      <c r="F285" s="32"/>
      <c r="G285" s="32"/>
      <c r="H285" s="33"/>
      <c r="I285" s="33"/>
    </row>
    <row r="286" spans="6:9" ht="13.2">
      <c r="F286" s="32"/>
      <c r="G286" s="32"/>
      <c r="H286" s="33"/>
      <c r="I286" s="33"/>
    </row>
    <row r="287" spans="6:9" ht="13.2">
      <c r="F287" s="32"/>
      <c r="G287" s="32"/>
      <c r="H287" s="33"/>
      <c r="I287" s="33"/>
    </row>
    <row r="288" spans="6:9" ht="13.2">
      <c r="F288" s="32"/>
      <c r="G288" s="32"/>
      <c r="H288" s="33"/>
      <c r="I288" s="33"/>
    </row>
    <row r="289" spans="6:9" ht="13.2">
      <c r="F289" s="32"/>
      <c r="G289" s="32"/>
      <c r="H289" s="33"/>
      <c r="I289" s="33"/>
    </row>
    <row r="290" spans="6:9" ht="13.2">
      <c r="F290" s="32"/>
      <c r="G290" s="32"/>
      <c r="H290" s="33"/>
      <c r="I290" s="33"/>
    </row>
    <row r="291" spans="6:9" ht="13.2">
      <c r="F291" s="32"/>
      <c r="G291" s="32"/>
      <c r="H291" s="33"/>
      <c r="I291" s="33"/>
    </row>
    <row r="292" spans="6:9" ht="13.2">
      <c r="F292" s="32"/>
      <c r="G292" s="32"/>
      <c r="H292" s="33"/>
      <c r="I292" s="33"/>
    </row>
    <row r="293" spans="6:9" ht="13.2">
      <c r="F293" s="32"/>
      <c r="G293" s="32"/>
      <c r="H293" s="33"/>
      <c r="I293" s="33"/>
    </row>
    <row r="294" spans="6:9" ht="13.2">
      <c r="F294" s="32"/>
      <c r="G294" s="32"/>
      <c r="H294" s="33"/>
      <c r="I294" s="33"/>
    </row>
    <row r="295" spans="6:9" ht="13.2">
      <c r="F295" s="32"/>
      <c r="G295" s="32"/>
      <c r="H295" s="33"/>
      <c r="I295" s="33"/>
    </row>
    <row r="296" spans="6:9" ht="13.2">
      <c r="F296" s="32"/>
      <c r="G296" s="32"/>
      <c r="H296" s="33"/>
      <c r="I296" s="33"/>
    </row>
    <row r="297" spans="6:9" ht="13.2">
      <c r="F297" s="32"/>
      <c r="G297" s="32"/>
      <c r="H297" s="33"/>
      <c r="I297" s="33"/>
    </row>
    <row r="298" spans="6:9" ht="13.2">
      <c r="F298" s="32"/>
      <c r="G298" s="32"/>
      <c r="H298" s="33"/>
      <c r="I298" s="33"/>
    </row>
    <row r="299" spans="6:9" ht="13.2">
      <c r="F299" s="32"/>
      <c r="G299" s="32"/>
      <c r="H299" s="33"/>
      <c r="I299" s="33"/>
    </row>
    <row r="300" spans="6:9" ht="13.2">
      <c r="F300" s="32"/>
      <c r="G300" s="32"/>
      <c r="H300" s="33"/>
      <c r="I300" s="33"/>
    </row>
    <row r="301" spans="6:9" ht="13.2">
      <c r="F301" s="32"/>
      <c r="G301" s="32"/>
      <c r="H301" s="33"/>
      <c r="I301" s="33"/>
    </row>
    <row r="302" spans="6:9" ht="13.2">
      <c r="F302" s="32"/>
      <c r="G302" s="32"/>
      <c r="H302" s="33"/>
      <c r="I302" s="33"/>
    </row>
    <row r="303" spans="6:9" ht="13.2">
      <c r="F303" s="32"/>
      <c r="G303" s="32"/>
      <c r="H303" s="33"/>
      <c r="I303" s="33"/>
    </row>
    <row r="304" spans="6:9" ht="13.2">
      <c r="F304" s="32"/>
      <c r="G304" s="32"/>
      <c r="H304" s="33"/>
      <c r="I304" s="33"/>
    </row>
    <row r="305" spans="6:9" ht="13.2">
      <c r="F305" s="32"/>
      <c r="G305" s="32"/>
      <c r="H305" s="33"/>
      <c r="I305" s="33"/>
    </row>
    <row r="306" spans="6:9" ht="13.2">
      <c r="F306" s="32"/>
      <c r="G306" s="32"/>
      <c r="H306" s="33"/>
      <c r="I306" s="33"/>
    </row>
    <row r="307" spans="6:9" ht="13.2">
      <c r="F307" s="32"/>
      <c r="G307" s="32"/>
      <c r="H307" s="33"/>
      <c r="I307" s="33"/>
    </row>
    <row r="308" spans="6:9" ht="13.2">
      <c r="F308" s="32"/>
      <c r="G308" s="32"/>
      <c r="H308" s="33"/>
      <c r="I308" s="33"/>
    </row>
    <row r="309" spans="6:9" ht="13.2">
      <c r="F309" s="32"/>
      <c r="G309" s="32"/>
      <c r="H309" s="33"/>
      <c r="I309" s="33"/>
    </row>
    <row r="310" spans="6:9" ht="13.2">
      <c r="F310" s="32"/>
      <c r="G310" s="32"/>
      <c r="H310" s="33"/>
      <c r="I310" s="33"/>
    </row>
    <row r="311" spans="6:9" ht="13.2">
      <c r="F311" s="32"/>
      <c r="G311" s="32"/>
      <c r="H311" s="33"/>
      <c r="I311" s="33"/>
    </row>
    <row r="312" spans="6:9" ht="13.2">
      <c r="F312" s="32"/>
      <c r="G312" s="32"/>
      <c r="H312" s="33"/>
      <c r="I312" s="33"/>
    </row>
    <row r="313" spans="6:9" ht="13.2">
      <c r="F313" s="32"/>
      <c r="G313" s="32"/>
      <c r="H313" s="33"/>
      <c r="I313" s="33"/>
    </row>
    <row r="314" spans="6:9" ht="13.2">
      <c r="F314" s="32"/>
      <c r="G314" s="32"/>
      <c r="H314" s="33"/>
      <c r="I314" s="33"/>
    </row>
    <row r="315" spans="6:9" ht="13.2">
      <c r="F315" s="32"/>
      <c r="G315" s="32"/>
      <c r="H315" s="33"/>
      <c r="I315" s="33"/>
    </row>
    <row r="316" spans="6:9" ht="13.2">
      <c r="F316" s="32"/>
      <c r="G316" s="32"/>
      <c r="H316" s="33"/>
      <c r="I316" s="33"/>
    </row>
    <row r="317" spans="6:9" ht="13.2">
      <c r="F317" s="32"/>
      <c r="G317" s="32"/>
      <c r="H317" s="33"/>
      <c r="I317" s="33"/>
    </row>
    <row r="318" spans="6:9" ht="13.2">
      <c r="F318" s="32"/>
      <c r="G318" s="32"/>
      <c r="H318" s="33"/>
      <c r="I318" s="33"/>
    </row>
    <row r="319" spans="6:9" ht="13.2">
      <c r="F319" s="32"/>
      <c r="G319" s="32"/>
      <c r="H319" s="33"/>
      <c r="I319" s="33"/>
    </row>
    <row r="320" spans="6:9" ht="13.2">
      <c r="F320" s="32"/>
      <c r="G320" s="32"/>
      <c r="H320" s="33"/>
      <c r="I320" s="33"/>
    </row>
    <row r="321" spans="6:9" ht="13.2">
      <c r="F321" s="32"/>
      <c r="G321" s="32"/>
      <c r="H321" s="33"/>
      <c r="I321" s="33"/>
    </row>
    <row r="322" spans="6:9" ht="13.2">
      <c r="F322" s="32"/>
      <c r="G322" s="32"/>
      <c r="H322" s="33"/>
      <c r="I322" s="33"/>
    </row>
    <row r="323" spans="6:9" ht="13.2">
      <c r="F323" s="32"/>
      <c r="G323" s="32"/>
      <c r="H323" s="33"/>
      <c r="I323" s="33"/>
    </row>
    <row r="324" spans="6:9" ht="13.2">
      <c r="F324" s="32"/>
      <c r="G324" s="32"/>
      <c r="H324" s="33"/>
      <c r="I324" s="33"/>
    </row>
    <row r="325" spans="6:9" ht="13.2">
      <c r="F325" s="32"/>
      <c r="G325" s="32"/>
      <c r="H325" s="33"/>
      <c r="I325" s="33"/>
    </row>
    <row r="326" spans="6:9" ht="13.2">
      <c r="F326" s="32"/>
      <c r="G326" s="32"/>
      <c r="H326" s="33"/>
      <c r="I326" s="33"/>
    </row>
    <row r="327" spans="6:9" ht="13.2">
      <c r="F327" s="32"/>
      <c r="G327" s="32"/>
      <c r="H327" s="33"/>
      <c r="I327" s="33"/>
    </row>
    <row r="328" spans="6:9" ht="13.2">
      <c r="F328" s="32"/>
      <c r="G328" s="32"/>
      <c r="H328" s="33"/>
      <c r="I328" s="33"/>
    </row>
    <row r="329" spans="6:9" ht="13.2">
      <c r="F329" s="32"/>
      <c r="G329" s="32"/>
      <c r="H329" s="33"/>
      <c r="I329" s="33"/>
    </row>
    <row r="330" spans="6:9" ht="13.2">
      <c r="F330" s="32"/>
      <c r="G330" s="32"/>
      <c r="H330" s="33"/>
      <c r="I330" s="33"/>
    </row>
    <row r="331" spans="6:9" ht="13.2">
      <c r="F331" s="32"/>
      <c r="G331" s="32"/>
      <c r="H331" s="33"/>
      <c r="I331" s="33"/>
    </row>
    <row r="332" spans="6:9" ht="13.2">
      <c r="F332" s="32"/>
      <c r="G332" s="32"/>
      <c r="H332" s="33"/>
      <c r="I332" s="33"/>
    </row>
    <row r="333" spans="6:9" ht="13.2">
      <c r="F333" s="32"/>
      <c r="G333" s="32"/>
      <c r="H333" s="33"/>
      <c r="I333" s="33"/>
    </row>
    <row r="334" spans="6:9" ht="13.2">
      <c r="F334" s="32"/>
      <c r="G334" s="32"/>
      <c r="H334" s="33"/>
      <c r="I334" s="33"/>
    </row>
    <row r="335" spans="6:9" ht="13.2">
      <c r="F335" s="32"/>
      <c r="G335" s="32"/>
      <c r="H335" s="33"/>
      <c r="I335" s="33"/>
    </row>
    <row r="336" spans="6:9" ht="13.2">
      <c r="F336" s="32"/>
      <c r="G336" s="32"/>
      <c r="H336" s="33"/>
      <c r="I336" s="33"/>
    </row>
    <row r="337" spans="6:9" ht="13.2">
      <c r="F337" s="32"/>
      <c r="G337" s="32"/>
      <c r="H337" s="33"/>
      <c r="I337" s="33"/>
    </row>
    <row r="338" spans="6:9" ht="13.2">
      <c r="F338" s="32"/>
      <c r="G338" s="32"/>
      <c r="H338" s="33"/>
      <c r="I338" s="33"/>
    </row>
    <row r="339" spans="6:9" ht="13.2">
      <c r="F339" s="32"/>
      <c r="G339" s="32"/>
      <c r="H339" s="33"/>
      <c r="I339" s="33"/>
    </row>
    <row r="340" spans="6:9" ht="13.2">
      <c r="F340" s="32"/>
      <c r="G340" s="32"/>
      <c r="H340" s="33"/>
      <c r="I340" s="33"/>
    </row>
    <row r="341" spans="6:9" ht="13.2">
      <c r="F341" s="32"/>
      <c r="G341" s="32"/>
      <c r="H341" s="33"/>
      <c r="I341" s="33"/>
    </row>
    <row r="342" spans="6:9" ht="13.2">
      <c r="F342" s="32"/>
      <c r="G342" s="32"/>
      <c r="H342" s="33"/>
      <c r="I342" s="33"/>
    </row>
    <row r="343" spans="6:9" ht="13.2">
      <c r="F343" s="32"/>
      <c r="G343" s="32"/>
      <c r="H343" s="33"/>
      <c r="I343" s="33"/>
    </row>
    <row r="344" spans="6:9" ht="13.2">
      <c r="F344" s="32"/>
      <c r="G344" s="32"/>
      <c r="H344" s="33"/>
      <c r="I344" s="33"/>
    </row>
    <row r="345" spans="6:9" ht="13.2">
      <c r="F345" s="32"/>
      <c r="G345" s="32"/>
      <c r="H345" s="33"/>
      <c r="I345" s="33"/>
    </row>
    <row r="346" spans="6:9" ht="13.2">
      <c r="F346" s="32"/>
      <c r="G346" s="32"/>
      <c r="H346" s="33"/>
      <c r="I346" s="33"/>
    </row>
    <row r="347" spans="6:9" ht="13.2">
      <c r="F347" s="32"/>
      <c r="G347" s="32"/>
      <c r="H347" s="33"/>
      <c r="I347" s="33"/>
    </row>
    <row r="348" spans="6:9" ht="13.2">
      <c r="F348" s="32"/>
      <c r="G348" s="32"/>
      <c r="H348" s="33"/>
      <c r="I348" s="33"/>
    </row>
    <row r="349" spans="6:9" ht="13.2">
      <c r="F349" s="32"/>
      <c r="G349" s="32"/>
      <c r="H349" s="33"/>
      <c r="I349" s="33"/>
    </row>
    <row r="350" spans="6:9" ht="13.2">
      <c r="F350" s="32"/>
      <c r="G350" s="32"/>
      <c r="H350" s="33"/>
      <c r="I350" s="33"/>
    </row>
    <row r="351" spans="6:9" ht="13.2">
      <c r="F351" s="32"/>
      <c r="G351" s="32"/>
      <c r="H351" s="33"/>
      <c r="I351" s="33"/>
    </row>
    <row r="352" spans="6:9" ht="13.2">
      <c r="F352" s="32"/>
      <c r="G352" s="32"/>
      <c r="H352" s="33"/>
      <c r="I352" s="33"/>
    </row>
    <row r="353" spans="6:9" ht="13.2">
      <c r="F353" s="32"/>
      <c r="G353" s="32"/>
      <c r="H353" s="33"/>
      <c r="I353" s="33"/>
    </row>
    <row r="354" spans="6:9" ht="13.2">
      <c r="F354" s="32"/>
      <c r="G354" s="32"/>
      <c r="H354" s="33"/>
      <c r="I354" s="33"/>
    </row>
    <row r="355" spans="6:9" ht="13.2">
      <c r="F355" s="32"/>
      <c r="G355" s="32"/>
      <c r="H355" s="33"/>
      <c r="I355" s="33"/>
    </row>
    <row r="356" spans="6:9" ht="13.2">
      <c r="F356" s="32"/>
      <c r="G356" s="32"/>
      <c r="H356" s="33"/>
      <c r="I356" s="33"/>
    </row>
    <row r="357" spans="6:9" ht="13.2">
      <c r="F357" s="32"/>
      <c r="G357" s="32"/>
      <c r="H357" s="33"/>
      <c r="I357" s="33"/>
    </row>
    <row r="358" spans="6:9" ht="13.2">
      <c r="F358" s="32"/>
      <c r="G358" s="32"/>
      <c r="H358" s="33"/>
      <c r="I358" s="33"/>
    </row>
    <row r="359" spans="6:9" ht="13.2">
      <c r="F359" s="32"/>
      <c r="G359" s="32"/>
      <c r="H359" s="33"/>
      <c r="I359" s="33"/>
    </row>
    <row r="360" spans="6:9" ht="13.2">
      <c r="F360" s="32"/>
      <c r="G360" s="32"/>
      <c r="H360" s="33"/>
      <c r="I360" s="33"/>
    </row>
    <row r="361" spans="6:9" ht="13.2">
      <c r="F361" s="32"/>
      <c r="G361" s="32"/>
      <c r="H361" s="33"/>
      <c r="I361" s="33"/>
    </row>
    <row r="362" spans="6:9" ht="13.2">
      <c r="F362" s="32"/>
      <c r="G362" s="32"/>
      <c r="H362" s="33"/>
      <c r="I362" s="33"/>
    </row>
    <row r="363" spans="6:9" ht="13.2">
      <c r="F363" s="32"/>
      <c r="G363" s="32"/>
      <c r="H363" s="33"/>
      <c r="I363" s="33"/>
    </row>
    <row r="364" spans="6:9" ht="13.2">
      <c r="F364" s="32"/>
      <c r="G364" s="32"/>
      <c r="H364" s="33"/>
      <c r="I364" s="33"/>
    </row>
    <row r="365" spans="6:9" ht="13.2">
      <c r="F365" s="32"/>
      <c r="G365" s="32"/>
      <c r="H365" s="33"/>
      <c r="I365" s="33"/>
    </row>
    <row r="366" spans="6:9" ht="13.2">
      <c r="F366" s="32"/>
      <c r="G366" s="32"/>
      <c r="H366" s="33"/>
      <c r="I366" s="33"/>
    </row>
    <row r="367" spans="6:9" ht="13.2">
      <c r="F367" s="32"/>
      <c r="G367" s="32"/>
      <c r="H367" s="33"/>
      <c r="I367" s="33"/>
    </row>
    <row r="368" spans="6:9" ht="13.2">
      <c r="F368" s="32"/>
      <c r="G368" s="32"/>
      <c r="H368" s="33"/>
      <c r="I368" s="33"/>
    </row>
    <row r="369" spans="6:9" ht="13.2">
      <c r="F369" s="32"/>
      <c r="G369" s="32"/>
      <c r="H369" s="33"/>
      <c r="I369" s="33"/>
    </row>
    <row r="370" spans="6:9" ht="13.2">
      <c r="F370" s="32"/>
      <c r="G370" s="32"/>
      <c r="H370" s="33"/>
      <c r="I370" s="33"/>
    </row>
    <row r="371" spans="6:9" ht="13.2">
      <c r="F371" s="32"/>
      <c r="G371" s="32"/>
      <c r="H371" s="33"/>
      <c r="I371" s="33"/>
    </row>
    <row r="372" spans="6:9" ht="13.2">
      <c r="F372" s="32"/>
      <c r="G372" s="32"/>
      <c r="H372" s="33"/>
      <c r="I372" s="33"/>
    </row>
    <row r="373" spans="6:9" ht="13.2">
      <c r="F373" s="32"/>
      <c r="G373" s="32"/>
      <c r="H373" s="33"/>
      <c r="I373" s="33"/>
    </row>
    <row r="374" spans="6:9" ht="13.2">
      <c r="F374" s="32"/>
      <c r="G374" s="32"/>
      <c r="H374" s="33"/>
      <c r="I374" s="33"/>
    </row>
    <row r="375" spans="6:9" ht="13.2">
      <c r="F375" s="32"/>
      <c r="G375" s="32"/>
      <c r="H375" s="33"/>
      <c r="I375" s="33"/>
    </row>
    <row r="376" spans="6:9" ht="13.2">
      <c r="F376" s="32"/>
      <c r="G376" s="32"/>
      <c r="H376" s="33"/>
      <c r="I376" s="33"/>
    </row>
    <row r="377" spans="6:9" ht="13.2">
      <c r="F377" s="32"/>
      <c r="G377" s="32"/>
      <c r="H377" s="33"/>
      <c r="I377" s="33"/>
    </row>
    <row r="378" spans="6:9" ht="13.2">
      <c r="F378" s="32"/>
      <c r="G378" s="32"/>
      <c r="H378" s="33"/>
      <c r="I378" s="33"/>
    </row>
    <row r="379" spans="6:9" ht="13.2">
      <c r="F379" s="32"/>
      <c r="G379" s="32"/>
      <c r="H379" s="33"/>
      <c r="I379" s="33"/>
    </row>
    <row r="380" spans="6:9" ht="13.2">
      <c r="F380" s="32"/>
      <c r="G380" s="32"/>
      <c r="H380" s="33"/>
      <c r="I380" s="33"/>
    </row>
    <row r="381" spans="6:9" ht="13.2">
      <c r="F381" s="32"/>
      <c r="G381" s="32"/>
      <c r="H381" s="33"/>
      <c r="I381" s="33"/>
    </row>
    <row r="382" spans="6:9" ht="13.2">
      <c r="F382" s="32"/>
      <c r="G382" s="32"/>
      <c r="H382" s="33"/>
      <c r="I382" s="33"/>
    </row>
    <row r="383" spans="6:9" ht="13.2">
      <c r="F383" s="32"/>
      <c r="G383" s="32"/>
      <c r="H383" s="33"/>
      <c r="I383" s="33"/>
    </row>
    <row r="384" spans="6:9" ht="13.2">
      <c r="F384" s="32"/>
      <c r="G384" s="32"/>
      <c r="H384" s="33"/>
      <c r="I384" s="33"/>
    </row>
    <row r="385" spans="6:9" ht="13.2">
      <c r="F385" s="32"/>
      <c r="G385" s="32"/>
      <c r="H385" s="33"/>
      <c r="I385" s="33"/>
    </row>
    <row r="386" spans="6:9" ht="13.2">
      <c r="F386" s="32"/>
      <c r="G386" s="32"/>
      <c r="H386" s="33"/>
      <c r="I386" s="33"/>
    </row>
    <row r="387" spans="6:9" ht="13.2">
      <c r="F387" s="32"/>
      <c r="G387" s="32"/>
      <c r="H387" s="33"/>
      <c r="I387" s="33"/>
    </row>
    <row r="388" spans="6:9" ht="13.2">
      <c r="F388" s="32"/>
      <c r="G388" s="32"/>
      <c r="H388" s="33"/>
      <c r="I388" s="33"/>
    </row>
    <row r="389" spans="6:9" ht="13.2">
      <c r="F389" s="32"/>
      <c r="G389" s="32"/>
      <c r="H389" s="33"/>
      <c r="I389" s="33"/>
    </row>
    <row r="390" spans="6:9" ht="13.2">
      <c r="F390" s="32"/>
      <c r="G390" s="32"/>
      <c r="H390" s="33"/>
      <c r="I390" s="33"/>
    </row>
    <row r="391" spans="6:9" ht="13.2">
      <c r="F391" s="32"/>
      <c r="G391" s="32"/>
      <c r="H391" s="33"/>
      <c r="I391" s="33"/>
    </row>
    <row r="392" spans="6:9" ht="13.2">
      <c r="F392" s="32"/>
      <c r="G392" s="32"/>
      <c r="H392" s="33"/>
      <c r="I392" s="33"/>
    </row>
    <row r="393" spans="6:9" ht="13.2">
      <c r="F393" s="32"/>
      <c r="G393" s="32"/>
      <c r="H393" s="33"/>
      <c r="I393" s="33"/>
    </row>
    <row r="394" spans="6:9" ht="13.2">
      <c r="F394" s="32"/>
      <c r="G394" s="32"/>
      <c r="H394" s="33"/>
      <c r="I394" s="33"/>
    </row>
    <row r="395" spans="6:9" ht="13.2">
      <c r="F395" s="32"/>
      <c r="G395" s="32"/>
      <c r="H395" s="33"/>
      <c r="I395" s="33"/>
    </row>
    <row r="396" spans="6:9" ht="13.2">
      <c r="F396" s="32"/>
      <c r="G396" s="32"/>
      <c r="H396" s="33"/>
      <c r="I396" s="33"/>
    </row>
    <row r="397" spans="6:9" ht="13.2">
      <c r="F397" s="32"/>
      <c r="G397" s="32"/>
      <c r="H397" s="33"/>
      <c r="I397" s="33"/>
    </row>
    <row r="398" spans="6:9" ht="13.2">
      <c r="F398" s="32"/>
      <c r="G398" s="32"/>
      <c r="H398" s="33"/>
      <c r="I398" s="33"/>
    </row>
    <row r="399" spans="6:9" ht="13.2">
      <c r="F399" s="32"/>
      <c r="G399" s="32"/>
      <c r="H399" s="33"/>
      <c r="I399" s="33"/>
    </row>
    <row r="400" spans="6:9" ht="13.2">
      <c r="F400" s="32"/>
      <c r="G400" s="32"/>
      <c r="H400" s="33"/>
      <c r="I400" s="33"/>
    </row>
    <row r="401" spans="6:9" ht="13.2">
      <c r="F401" s="32"/>
      <c r="G401" s="32"/>
      <c r="H401" s="33"/>
      <c r="I401" s="33"/>
    </row>
    <row r="402" spans="6:9" ht="13.2">
      <c r="F402" s="32"/>
      <c r="G402" s="32"/>
      <c r="H402" s="33"/>
      <c r="I402" s="33"/>
    </row>
    <row r="403" spans="6:9" ht="13.2">
      <c r="F403" s="32"/>
      <c r="G403" s="32"/>
      <c r="H403" s="33"/>
      <c r="I403" s="33"/>
    </row>
    <row r="404" spans="6:9" ht="13.2">
      <c r="F404" s="32"/>
      <c r="G404" s="32"/>
      <c r="H404" s="33"/>
      <c r="I404" s="33"/>
    </row>
    <row r="405" spans="6:9" ht="13.2">
      <c r="F405" s="32"/>
      <c r="G405" s="32"/>
      <c r="H405" s="33"/>
      <c r="I405" s="33"/>
    </row>
    <row r="406" spans="6:9" ht="13.2">
      <c r="F406" s="32"/>
      <c r="G406" s="32"/>
      <c r="H406" s="33"/>
      <c r="I406" s="33"/>
    </row>
    <row r="407" spans="6:9" ht="13.2">
      <c r="F407" s="32"/>
      <c r="G407" s="32"/>
      <c r="H407" s="33"/>
      <c r="I407" s="33"/>
    </row>
    <row r="408" spans="6:9" ht="13.2">
      <c r="F408" s="32"/>
      <c r="G408" s="32"/>
      <c r="H408" s="33"/>
      <c r="I408" s="33"/>
    </row>
    <row r="409" spans="6:9" ht="13.2">
      <c r="F409" s="32"/>
      <c r="G409" s="32"/>
      <c r="H409" s="33"/>
      <c r="I409" s="33"/>
    </row>
    <row r="410" spans="6:9" ht="13.2">
      <c r="F410" s="32"/>
      <c r="G410" s="32"/>
      <c r="H410" s="33"/>
      <c r="I410" s="33"/>
    </row>
    <row r="411" spans="6:9" ht="13.2">
      <c r="F411" s="32"/>
      <c r="G411" s="32"/>
      <c r="H411" s="33"/>
      <c r="I411" s="33"/>
    </row>
    <row r="412" spans="6:9" ht="13.2">
      <c r="F412" s="32"/>
      <c r="G412" s="32"/>
      <c r="H412" s="33"/>
      <c r="I412" s="33"/>
    </row>
    <row r="413" spans="6:9" ht="13.2">
      <c r="F413" s="32"/>
      <c r="G413" s="32"/>
      <c r="H413" s="33"/>
      <c r="I413" s="33"/>
    </row>
    <row r="414" spans="6:9" ht="13.2">
      <c r="F414" s="32"/>
      <c r="G414" s="32"/>
      <c r="H414" s="33"/>
      <c r="I414" s="33"/>
    </row>
    <row r="415" spans="6:9" ht="13.2">
      <c r="F415" s="32"/>
      <c r="G415" s="32"/>
      <c r="H415" s="33"/>
      <c r="I415" s="33"/>
    </row>
    <row r="416" spans="6:9" ht="13.2">
      <c r="F416" s="32"/>
      <c r="G416" s="32"/>
      <c r="H416" s="33"/>
      <c r="I416" s="33"/>
    </row>
    <row r="417" spans="6:9" ht="13.2">
      <c r="F417" s="32"/>
      <c r="G417" s="32"/>
      <c r="H417" s="33"/>
      <c r="I417" s="33"/>
    </row>
    <row r="418" spans="6:9" ht="13.2">
      <c r="F418" s="32"/>
      <c r="G418" s="32"/>
      <c r="H418" s="33"/>
      <c r="I418" s="33"/>
    </row>
    <row r="419" spans="6:9" ht="13.2">
      <c r="F419" s="32"/>
      <c r="G419" s="32"/>
      <c r="H419" s="33"/>
      <c r="I419" s="33"/>
    </row>
    <row r="420" spans="6:9" ht="13.2">
      <c r="F420" s="32"/>
      <c r="G420" s="32"/>
      <c r="H420" s="33"/>
      <c r="I420" s="33"/>
    </row>
    <row r="421" spans="6:9" ht="13.2">
      <c r="F421" s="32"/>
      <c r="G421" s="32"/>
      <c r="H421" s="33"/>
      <c r="I421" s="33"/>
    </row>
    <row r="422" spans="6:9" ht="13.2">
      <c r="F422" s="32"/>
      <c r="G422" s="32"/>
      <c r="H422" s="33"/>
      <c r="I422" s="33"/>
    </row>
    <row r="423" spans="6:9" ht="13.2">
      <c r="F423" s="32"/>
      <c r="G423" s="32"/>
      <c r="H423" s="33"/>
      <c r="I423" s="33"/>
    </row>
    <row r="424" spans="6:9" ht="13.2">
      <c r="F424" s="32"/>
      <c r="G424" s="32"/>
      <c r="H424" s="33"/>
      <c r="I424" s="33"/>
    </row>
    <row r="425" spans="6:9" ht="13.2">
      <c r="F425" s="32"/>
      <c r="G425" s="32"/>
      <c r="H425" s="33"/>
      <c r="I425" s="33"/>
    </row>
    <row r="426" spans="6:9" ht="13.2">
      <c r="F426" s="32"/>
      <c r="G426" s="32"/>
      <c r="H426" s="33"/>
      <c r="I426" s="33"/>
    </row>
    <row r="427" spans="6:9" ht="13.2">
      <c r="F427" s="32"/>
      <c r="G427" s="32"/>
      <c r="H427" s="33"/>
      <c r="I427" s="33"/>
    </row>
    <row r="428" spans="6:9" ht="13.2">
      <c r="F428" s="32"/>
      <c r="G428" s="32"/>
      <c r="H428" s="33"/>
      <c r="I428" s="33"/>
    </row>
    <row r="429" spans="6:9" ht="13.2">
      <c r="F429" s="32"/>
      <c r="G429" s="32"/>
      <c r="H429" s="33"/>
      <c r="I429" s="33"/>
    </row>
    <row r="430" spans="6:9" ht="13.2">
      <c r="F430" s="32"/>
      <c r="G430" s="32"/>
      <c r="H430" s="33"/>
      <c r="I430" s="33"/>
    </row>
    <row r="431" spans="6:9" ht="13.2">
      <c r="F431" s="32"/>
      <c r="G431" s="32"/>
      <c r="H431" s="33"/>
      <c r="I431" s="33"/>
    </row>
    <row r="432" spans="6:9" ht="13.2">
      <c r="F432" s="32"/>
      <c r="G432" s="32"/>
      <c r="H432" s="33"/>
      <c r="I432" s="33"/>
    </row>
    <row r="433" spans="6:9" ht="13.2">
      <c r="F433" s="32"/>
      <c r="G433" s="32"/>
      <c r="H433" s="33"/>
      <c r="I433" s="33"/>
    </row>
    <row r="434" spans="6:9" ht="13.2">
      <c r="F434" s="32"/>
      <c r="G434" s="32"/>
      <c r="H434" s="33"/>
      <c r="I434" s="33"/>
    </row>
    <row r="435" spans="6:9" ht="13.2">
      <c r="F435" s="32"/>
      <c r="G435" s="32"/>
      <c r="H435" s="33"/>
      <c r="I435" s="33"/>
    </row>
    <row r="436" spans="6:9" ht="13.2">
      <c r="F436" s="32"/>
      <c r="G436" s="32"/>
      <c r="H436" s="33"/>
      <c r="I436" s="33"/>
    </row>
    <row r="437" spans="6:9" ht="13.2">
      <c r="F437" s="32"/>
      <c r="G437" s="32"/>
      <c r="H437" s="33"/>
      <c r="I437" s="33"/>
    </row>
    <row r="438" spans="6:9" ht="13.2">
      <c r="F438" s="32"/>
      <c r="G438" s="32"/>
      <c r="H438" s="33"/>
      <c r="I438" s="33"/>
    </row>
    <row r="439" spans="6:9" ht="13.2">
      <c r="F439" s="32"/>
      <c r="G439" s="32"/>
      <c r="H439" s="33"/>
      <c r="I439" s="33"/>
    </row>
    <row r="440" spans="6:9" ht="13.2">
      <c r="F440" s="32"/>
      <c r="G440" s="32"/>
      <c r="H440" s="33"/>
      <c r="I440" s="33"/>
    </row>
    <row r="441" spans="6:9" ht="13.2">
      <c r="F441" s="32"/>
      <c r="G441" s="32"/>
      <c r="H441" s="33"/>
      <c r="I441" s="33"/>
    </row>
    <row r="442" spans="6:9" ht="13.2">
      <c r="F442" s="32"/>
      <c r="G442" s="32"/>
      <c r="H442" s="33"/>
      <c r="I442" s="33"/>
    </row>
    <row r="443" spans="6:9" ht="13.2">
      <c r="F443" s="32"/>
      <c r="G443" s="32"/>
      <c r="H443" s="33"/>
      <c r="I443" s="33"/>
    </row>
    <row r="444" spans="6:9" ht="13.2">
      <c r="F444" s="32"/>
      <c r="G444" s="32"/>
      <c r="H444" s="33"/>
      <c r="I444" s="33"/>
    </row>
    <row r="445" spans="6:9" ht="13.2">
      <c r="F445" s="32"/>
      <c r="G445" s="32"/>
      <c r="H445" s="33"/>
      <c r="I445" s="33"/>
    </row>
    <row r="446" spans="6:9" ht="13.2">
      <c r="F446" s="32"/>
      <c r="G446" s="32"/>
      <c r="H446" s="33"/>
      <c r="I446" s="33"/>
    </row>
    <row r="447" spans="6:9" ht="13.2">
      <c r="F447" s="32"/>
      <c r="G447" s="32"/>
      <c r="H447" s="33"/>
      <c r="I447" s="33"/>
    </row>
    <row r="448" spans="6:9" ht="13.2">
      <c r="F448" s="32"/>
      <c r="G448" s="32"/>
      <c r="H448" s="33"/>
      <c r="I448" s="33"/>
    </row>
    <row r="449" spans="6:9" ht="13.2">
      <c r="F449" s="32"/>
      <c r="G449" s="32"/>
      <c r="H449" s="33"/>
      <c r="I449" s="33"/>
    </row>
    <row r="450" spans="6:9" ht="13.2">
      <c r="F450" s="32"/>
      <c r="G450" s="32"/>
      <c r="H450" s="33"/>
      <c r="I450" s="33"/>
    </row>
    <row r="451" spans="6:9" ht="13.2">
      <c r="F451" s="32"/>
      <c r="G451" s="32"/>
      <c r="H451" s="33"/>
      <c r="I451" s="33"/>
    </row>
    <row r="452" spans="6:9" ht="13.2">
      <c r="F452" s="32"/>
      <c r="G452" s="32"/>
      <c r="H452" s="33"/>
      <c r="I452" s="33"/>
    </row>
    <row r="453" spans="6:9" ht="13.2">
      <c r="F453" s="32"/>
      <c r="G453" s="32"/>
      <c r="H453" s="33"/>
      <c r="I453" s="33"/>
    </row>
    <row r="454" spans="6:9" ht="13.2">
      <c r="F454" s="32"/>
      <c r="G454" s="32"/>
      <c r="H454" s="33"/>
      <c r="I454" s="33"/>
    </row>
    <row r="455" spans="6:9" ht="13.2">
      <c r="F455" s="32"/>
      <c r="G455" s="32"/>
      <c r="H455" s="33"/>
      <c r="I455" s="33"/>
    </row>
    <row r="456" spans="6:9" ht="13.2">
      <c r="F456" s="32"/>
      <c r="G456" s="32"/>
      <c r="H456" s="33"/>
      <c r="I456" s="33"/>
    </row>
    <row r="457" spans="6:9" ht="13.2">
      <c r="F457" s="32"/>
      <c r="G457" s="32"/>
      <c r="H457" s="33"/>
      <c r="I457" s="33"/>
    </row>
    <row r="458" spans="6:9" ht="13.2">
      <c r="F458" s="32"/>
      <c r="G458" s="32"/>
      <c r="H458" s="33"/>
      <c r="I458" s="33"/>
    </row>
    <row r="459" spans="6:9" ht="13.2">
      <c r="F459" s="32"/>
      <c r="G459" s="32"/>
      <c r="H459" s="33"/>
      <c r="I459" s="33"/>
    </row>
    <row r="460" spans="6:9" ht="13.2">
      <c r="F460" s="32"/>
      <c r="G460" s="32"/>
      <c r="H460" s="33"/>
      <c r="I460" s="33"/>
    </row>
    <row r="461" spans="6:9" ht="13.2">
      <c r="F461" s="32"/>
      <c r="G461" s="32"/>
      <c r="H461" s="33"/>
      <c r="I461" s="33"/>
    </row>
    <row r="462" spans="6:9" ht="13.2">
      <c r="F462" s="32"/>
      <c r="G462" s="32"/>
      <c r="H462" s="33"/>
      <c r="I462" s="33"/>
    </row>
    <row r="463" spans="6:9" ht="13.2">
      <c r="F463" s="32"/>
      <c r="G463" s="32"/>
      <c r="H463" s="33"/>
      <c r="I463" s="33"/>
    </row>
    <row r="464" spans="6:9" ht="13.2">
      <c r="F464" s="32"/>
      <c r="G464" s="32"/>
      <c r="H464" s="33"/>
      <c r="I464" s="33"/>
    </row>
    <row r="465" spans="6:9" ht="13.2">
      <c r="F465" s="32"/>
      <c r="G465" s="32"/>
      <c r="H465" s="33"/>
      <c r="I465" s="33"/>
    </row>
    <row r="466" spans="6:9" ht="13.2">
      <c r="F466" s="32"/>
      <c r="G466" s="32"/>
      <c r="H466" s="33"/>
      <c r="I466" s="33"/>
    </row>
    <row r="467" spans="6:9" ht="13.2">
      <c r="F467" s="32"/>
      <c r="G467" s="32"/>
      <c r="H467" s="33"/>
      <c r="I467" s="33"/>
    </row>
    <row r="468" spans="6:9" ht="13.2">
      <c r="F468" s="32"/>
      <c r="G468" s="32"/>
      <c r="H468" s="33"/>
      <c r="I468" s="33"/>
    </row>
    <row r="469" spans="6:9" ht="13.2">
      <c r="F469" s="32"/>
      <c r="G469" s="32"/>
      <c r="H469" s="33"/>
      <c r="I469" s="33"/>
    </row>
    <row r="470" spans="6:9" ht="13.2">
      <c r="F470" s="32"/>
      <c r="G470" s="32"/>
      <c r="H470" s="33"/>
      <c r="I470" s="33"/>
    </row>
    <row r="471" spans="6:9" ht="13.2">
      <c r="F471" s="32"/>
      <c r="G471" s="32"/>
      <c r="H471" s="33"/>
      <c r="I471" s="33"/>
    </row>
    <row r="472" spans="6:9" ht="13.2">
      <c r="F472" s="32"/>
      <c r="G472" s="32"/>
      <c r="H472" s="33"/>
      <c r="I472" s="33"/>
    </row>
    <row r="473" spans="6:9" ht="13.2">
      <c r="F473" s="32"/>
      <c r="G473" s="32"/>
      <c r="H473" s="33"/>
      <c r="I473" s="33"/>
    </row>
    <row r="474" spans="6:9" ht="13.2">
      <c r="F474" s="32"/>
      <c r="G474" s="32"/>
      <c r="H474" s="33"/>
      <c r="I474" s="33"/>
    </row>
    <row r="475" spans="6:9" ht="13.2">
      <c r="F475" s="32"/>
      <c r="G475" s="32"/>
      <c r="H475" s="33"/>
      <c r="I475" s="33"/>
    </row>
    <row r="476" spans="6:9" ht="13.2">
      <c r="F476" s="32"/>
      <c r="G476" s="32"/>
      <c r="H476" s="33"/>
      <c r="I476" s="33"/>
    </row>
    <row r="477" spans="6:9" ht="13.2">
      <c r="F477" s="32"/>
      <c r="G477" s="32"/>
      <c r="H477" s="33"/>
      <c r="I477" s="33"/>
    </row>
    <row r="478" spans="6:9" ht="13.2">
      <c r="F478" s="32"/>
      <c r="G478" s="32"/>
      <c r="H478" s="33"/>
      <c r="I478" s="33"/>
    </row>
    <row r="479" spans="6:9" ht="13.2">
      <c r="F479" s="32"/>
      <c r="G479" s="32"/>
      <c r="H479" s="33"/>
      <c r="I479" s="33"/>
    </row>
    <row r="480" spans="6:9" ht="13.2">
      <c r="F480" s="32"/>
      <c r="G480" s="32"/>
      <c r="H480" s="33"/>
      <c r="I480" s="33"/>
    </row>
    <row r="481" spans="6:9" ht="13.2">
      <c r="F481" s="32"/>
      <c r="G481" s="32"/>
      <c r="H481" s="33"/>
      <c r="I481" s="33"/>
    </row>
    <row r="482" spans="6:9" ht="13.2">
      <c r="F482" s="32"/>
      <c r="G482" s="32"/>
      <c r="H482" s="33"/>
      <c r="I482" s="33"/>
    </row>
    <row r="483" spans="6:9" ht="13.2">
      <c r="F483" s="32"/>
      <c r="G483" s="32"/>
      <c r="H483" s="33"/>
      <c r="I483" s="33"/>
    </row>
    <row r="484" spans="6:9" ht="13.2">
      <c r="F484" s="32"/>
      <c r="G484" s="32"/>
      <c r="H484" s="33"/>
      <c r="I484" s="33"/>
    </row>
    <row r="485" spans="6:9" ht="13.2">
      <c r="F485" s="32"/>
      <c r="G485" s="32"/>
      <c r="H485" s="33"/>
      <c r="I485" s="33"/>
    </row>
    <row r="486" spans="6:9" ht="13.2">
      <c r="F486" s="32"/>
      <c r="G486" s="32"/>
      <c r="H486" s="33"/>
      <c r="I486" s="33"/>
    </row>
    <row r="487" spans="6:9" ht="13.2">
      <c r="F487" s="32"/>
      <c r="G487" s="32"/>
      <c r="H487" s="33"/>
      <c r="I487" s="33"/>
    </row>
    <row r="488" spans="6:9" ht="13.2">
      <c r="F488" s="32"/>
      <c r="G488" s="32"/>
      <c r="H488" s="33"/>
      <c r="I488" s="33"/>
    </row>
    <row r="489" spans="6:9" ht="13.2">
      <c r="F489" s="32"/>
      <c r="G489" s="32"/>
      <c r="H489" s="33"/>
      <c r="I489" s="33"/>
    </row>
    <row r="490" spans="6:9" ht="13.2">
      <c r="F490" s="32"/>
      <c r="G490" s="32"/>
      <c r="H490" s="33"/>
      <c r="I490" s="33"/>
    </row>
    <row r="491" spans="6:9" ht="13.2">
      <c r="F491" s="32"/>
      <c r="G491" s="32"/>
      <c r="H491" s="33"/>
      <c r="I491" s="33"/>
    </row>
    <row r="492" spans="6:9" ht="13.2">
      <c r="F492" s="32"/>
      <c r="G492" s="32"/>
      <c r="H492" s="33"/>
      <c r="I492" s="33"/>
    </row>
    <row r="493" spans="6:9" ht="13.2">
      <c r="F493" s="32"/>
      <c r="G493" s="32"/>
      <c r="H493" s="33"/>
      <c r="I493" s="33"/>
    </row>
    <row r="494" spans="6:9" ht="13.2">
      <c r="F494" s="32"/>
      <c r="G494" s="32"/>
      <c r="H494" s="33"/>
      <c r="I494" s="33"/>
    </row>
    <row r="495" spans="6:9" ht="13.2">
      <c r="F495" s="32"/>
      <c r="G495" s="32"/>
      <c r="H495" s="33"/>
      <c r="I495" s="33"/>
    </row>
    <row r="496" spans="6:9" ht="13.2">
      <c r="F496" s="32"/>
      <c r="G496" s="32"/>
      <c r="H496" s="33"/>
      <c r="I496" s="33"/>
    </row>
    <row r="497" spans="6:9" ht="13.2">
      <c r="F497" s="32"/>
      <c r="G497" s="32"/>
      <c r="H497" s="33"/>
      <c r="I497" s="33"/>
    </row>
    <row r="498" spans="6:9" ht="13.2">
      <c r="F498" s="32"/>
      <c r="G498" s="32"/>
      <c r="H498" s="33"/>
      <c r="I498" s="33"/>
    </row>
    <row r="499" spans="6:9" ht="13.2">
      <c r="F499" s="32"/>
      <c r="G499" s="32"/>
      <c r="H499" s="33"/>
      <c r="I499" s="33"/>
    </row>
    <row r="500" spans="6:9" ht="13.2">
      <c r="F500" s="32"/>
      <c r="G500" s="32"/>
      <c r="H500" s="33"/>
      <c r="I500" s="33"/>
    </row>
    <row r="501" spans="6:9" ht="13.2">
      <c r="F501" s="32"/>
      <c r="G501" s="32"/>
      <c r="H501" s="33"/>
      <c r="I501" s="33"/>
    </row>
    <row r="502" spans="6:9" ht="13.2">
      <c r="F502" s="32"/>
      <c r="G502" s="32"/>
      <c r="H502" s="33"/>
      <c r="I502" s="33"/>
    </row>
    <row r="503" spans="6:9" ht="13.2">
      <c r="F503" s="32"/>
      <c r="G503" s="32"/>
      <c r="H503" s="33"/>
      <c r="I503" s="33"/>
    </row>
    <row r="504" spans="6:9" ht="13.2">
      <c r="F504" s="32"/>
      <c r="G504" s="32"/>
      <c r="H504" s="33"/>
      <c r="I504" s="33"/>
    </row>
    <row r="505" spans="6:9" ht="13.2">
      <c r="F505" s="32"/>
      <c r="G505" s="32"/>
      <c r="H505" s="33"/>
      <c r="I505" s="33"/>
    </row>
    <row r="506" spans="6:9" ht="13.2">
      <c r="F506" s="32"/>
      <c r="G506" s="32"/>
      <c r="H506" s="33"/>
      <c r="I506" s="33"/>
    </row>
    <row r="507" spans="6:9" ht="13.2">
      <c r="F507" s="32"/>
      <c r="G507" s="32"/>
      <c r="H507" s="33"/>
      <c r="I507" s="33"/>
    </row>
    <row r="508" spans="6:9" ht="13.2">
      <c r="F508" s="32"/>
      <c r="G508" s="32"/>
      <c r="H508" s="33"/>
      <c r="I508" s="33"/>
    </row>
    <row r="509" spans="6:9" ht="13.2">
      <c r="F509" s="32"/>
      <c r="G509" s="32"/>
      <c r="H509" s="33"/>
      <c r="I509" s="33"/>
    </row>
    <row r="510" spans="6:9" ht="13.2">
      <c r="F510" s="32"/>
      <c r="G510" s="32"/>
      <c r="H510" s="33"/>
      <c r="I510" s="33"/>
    </row>
    <row r="511" spans="6:9" ht="13.2">
      <c r="F511" s="32"/>
      <c r="G511" s="32"/>
      <c r="H511" s="33"/>
      <c r="I511" s="33"/>
    </row>
    <row r="512" spans="6:9" ht="13.2">
      <c r="F512" s="32"/>
      <c r="G512" s="32"/>
      <c r="H512" s="33"/>
      <c r="I512" s="33"/>
    </row>
    <row r="513" spans="6:9" ht="13.2">
      <c r="F513" s="32"/>
      <c r="G513" s="32"/>
      <c r="H513" s="33"/>
      <c r="I513" s="33"/>
    </row>
    <row r="514" spans="6:9" ht="13.2">
      <c r="F514" s="32"/>
      <c r="G514" s="32"/>
      <c r="H514" s="33"/>
      <c r="I514" s="33"/>
    </row>
    <row r="515" spans="6:9" ht="13.2">
      <c r="F515" s="32"/>
      <c r="G515" s="32"/>
      <c r="H515" s="33"/>
      <c r="I515" s="33"/>
    </row>
    <row r="516" spans="6:9" ht="13.2">
      <c r="F516" s="32"/>
      <c r="G516" s="32"/>
      <c r="H516" s="33"/>
      <c r="I516" s="33"/>
    </row>
    <row r="517" spans="6:9" ht="13.2">
      <c r="F517" s="32"/>
      <c r="G517" s="32"/>
      <c r="H517" s="33"/>
      <c r="I517" s="33"/>
    </row>
    <row r="518" spans="6:9" ht="13.2">
      <c r="F518" s="32"/>
      <c r="G518" s="32"/>
      <c r="H518" s="33"/>
      <c r="I518" s="33"/>
    </row>
    <row r="519" spans="6:9" ht="13.2">
      <c r="F519" s="32"/>
      <c r="G519" s="32"/>
      <c r="H519" s="33"/>
      <c r="I519" s="33"/>
    </row>
    <row r="520" spans="6:9" ht="13.2">
      <c r="F520" s="32"/>
      <c r="G520" s="32"/>
      <c r="H520" s="33"/>
      <c r="I520" s="33"/>
    </row>
    <row r="521" spans="6:9" ht="13.2">
      <c r="F521" s="32"/>
      <c r="G521" s="32"/>
      <c r="H521" s="33"/>
      <c r="I521" s="33"/>
    </row>
    <row r="522" spans="6:9" ht="13.2">
      <c r="F522" s="32"/>
      <c r="G522" s="32"/>
      <c r="H522" s="33"/>
      <c r="I522" s="33"/>
    </row>
    <row r="523" spans="6:9" ht="13.2">
      <c r="F523" s="32"/>
      <c r="G523" s="32"/>
      <c r="H523" s="33"/>
      <c r="I523" s="33"/>
    </row>
    <row r="524" spans="6:9" ht="13.2">
      <c r="F524" s="32"/>
      <c r="G524" s="32"/>
      <c r="H524" s="33"/>
      <c r="I524" s="33"/>
    </row>
    <row r="525" spans="6:9" ht="13.2">
      <c r="F525" s="32"/>
      <c r="G525" s="32"/>
      <c r="H525" s="33"/>
      <c r="I525" s="33"/>
    </row>
    <row r="526" spans="6:9" ht="13.2">
      <c r="F526" s="32"/>
      <c r="G526" s="32"/>
      <c r="H526" s="33"/>
      <c r="I526" s="33"/>
    </row>
    <row r="527" spans="6:9" ht="13.2">
      <c r="F527" s="32"/>
      <c r="G527" s="32"/>
      <c r="H527" s="33"/>
      <c r="I527" s="33"/>
    </row>
    <row r="528" spans="6:9" ht="13.2">
      <c r="F528" s="32"/>
      <c r="G528" s="32"/>
      <c r="H528" s="33"/>
      <c r="I528" s="33"/>
    </row>
    <row r="529" spans="6:9" ht="13.2">
      <c r="F529" s="32"/>
      <c r="G529" s="32"/>
      <c r="H529" s="33"/>
      <c r="I529" s="33"/>
    </row>
    <row r="530" spans="6:9" ht="13.2">
      <c r="F530" s="32"/>
      <c r="G530" s="32"/>
      <c r="H530" s="33"/>
      <c r="I530" s="33"/>
    </row>
    <row r="531" spans="6:9" ht="13.2">
      <c r="F531" s="32"/>
      <c r="G531" s="32"/>
      <c r="H531" s="33"/>
      <c r="I531" s="33"/>
    </row>
    <row r="532" spans="6:9" ht="13.2">
      <c r="F532" s="32"/>
      <c r="G532" s="32"/>
      <c r="H532" s="33"/>
      <c r="I532" s="33"/>
    </row>
    <row r="533" spans="6:9" ht="13.2">
      <c r="F533" s="32"/>
      <c r="G533" s="32"/>
      <c r="H533" s="33"/>
      <c r="I533" s="33"/>
    </row>
    <row r="534" spans="6:9" ht="13.2">
      <c r="F534" s="32"/>
      <c r="G534" s="32"/>
      <c r="H534" s="33"/>
      <c r="I534" s="33"/>
    </row>
    <row r="535" spans="6:9" ht="13.2">
      <c r="F535" s="32"/>
      <c r="G535" s="32"/>
      <c r="H535" s="33"/>
      <c r="I535" s="33"/>
    </row>
    <row r="536" spans="6:9" ht="13.2">
      <c r="F536" s="32"/>
      <c r="G536" s="32"/>
      <c r="H536" s="33"/>
      <c r="I536" s="33"/>
    </row>
    <row r="537" spans="6:9" ht="13.2">
      <c r="F537" s="32"/>
      <c r="G537" s="32"/>
      <c r="H537" s="33"/>
      <c r="I537" s="33"/>
    </row>
    <row r="538" spans="6:9" ht="13.2">
      <c r="F538" s="32"/>
      <c r="G538" s="32"/>
      <c r="H538" s="33"/>
      <c r="I538" s="33"/>
    </row>
    <row r="539" spans="6:9" ht="13.2">
      <c r="F539" s="32"/>
      <c r="G539" s="32"/>
      <c r="H539" s="33"/>
      <c r="I539" s="33"/>
    </row>
    <row r="540" spans="6:9" ht="13.2">
      <c r="F540" s="32"/>
      <c r="G540" s="32"/>
      <c r="H540" s="33"/>
      <c r="I540" s="33"/>
    </row>
    <row r="541" spans="6:9" ht="13.2">
      <c r="F541" s="32"/>
      <c r="G541" s="32"/>
      <c r="H541" s="33"/>
      <c r="I541" s="33"/>
    </row>
    <row r="542" spans="6:9" ht="13.2">
      <c r="F542" s="32"/>
      <c r="G542" s="32"/>
      <c r="H542" s="33"/>
      <c r="I542" s="33"/>
    </row>
    <row r="543" spans="6:9" ht="13.2">
      <c r="F543" s="32"/>
      <c r="G543" s="32"/>
      <c r="H543" s="33"/>
      <c r="I543" s="33"/>
    </row>
    <row r="544" spans="6:9" ht="13.2">
      <c r="F544" s="32"/>
      <c r="G544" s="32"/>
      <c r="H544" s="33"/>
      <c r="I544" s="33"/>
    </row>
    <row r="545" spans="6:9" ht="13.2">
      <c r="F545" s="32"/>
      <c r="G545" s="32"/>
      <c r="H545" s="33"/>
      <c r="I545" s="33"/>
    </row>
    <row r="546" spans="6:9" ht="13.2">
      <c r="F546" s="32"/>
      <c r="G546" s="32"/>
      <c r="H546" s="33"/>
      <c r="I546" s="33"/>
    </row>
    <row r="547" spans="6:9" ht="13.2">
      <c r="F547" s="32"/>
      <c r="G547" s="32"/>
      <c r="H547" s="33"/>
      <c r="I547" s="33"/>
    </row>
    <row r="548" spans="6:9" ht="13.2">
      <c r="F548" s="32"/>
      <c r="G548" s="32"/>
      <c r="H548" s="33"/>
      <c r="I548" s="33"/>
    </row>
    <row r="549" spans="6:9" ht="13.2">
      <c r="F549" s="32"/>
      <c r="G549" s="32"/>
      <c r="H549" s="33"/>
      <c r="I549" s="33"/>
    </row>
    <row r="550" spans="6:9" ht="13.2">
      <c r="F550" s="32"/>
      <c r="G550" s="32"/>
      <c r="H550" s="33"/>
      <c r="I550" s="33"/>
    </row>
    <row r="551" spans="6:9" ht="13.2">
      <c r="F551" s="32"/>
      <c r="G551" s="32"/>
      <c r="H551" s="33"/>
      <c r="I551" s="33"/>
    </row>
    <row r="552" spans="6:9" ht="13.2">
      <c r="F552" s="32"/>
      <c r="G552" s="32"/>
      <c r="H552" s="33"/>
      <c r="I552" s="33"/>
    </row>
    <row r="553" spans="6:9" ht="13.2">
      <c r="F553" s="32"/>
      <c r="G553" s="32"/>
      <c r="H553" s="33"/>
      <c r="I553" s="33"/>
    </row>
    <row r="554" spans="6:9" ht="13.2">
      <c r="F554" s="32"/>
      <c r="G554" s="32"/>
      <c r="H554" s="33"/>
      <c r="I554" s="33"/>
    </row>
    <row r="555" spans="6:9" ht="13.2">
      <c r="F555" s="32"/>
      <c r="G555" s="32"/>
      <c r="H555" s="33"/>
      <c r="I555" s="33"/>
    </row>
    <row r="556" spans="6:9" ht="13.2">
      <c r="F556" s="32"/>
      <c r="G556" s="32"/>
      <c r="H556" s="33"/>
      <c r="I556" s="33"/>
    </row>
    <row r="557" spans="6:9" ht="13.2">
      <c r="F557" s="32"/>
      <c r="G557" s="32"/>
      <c r="H557" s="33"/>
      <c r="I557" s="33"/>
    </row>
    <row r="558" spans="6:9" ht="13.2">
      <c r="F558" s="32"/>
      <c r="G558" s="32"/>
      <c r="H558" s="33"/>
      <c r="I558" s="33"/>
    </row>
    <row r="559" spans="6:9" ht="13.2">
      <c r="F559" s="32"/>
      <c r="G559" s="32"/>
      <c r="H559" s="33"/>
      <c r="I559" s="33"/>
    </row>
    <row r="560" spans="6:9" ht="13.2">
      <c r="F560" s="32"/>
      <c r="G560" s="32"/>
      <c r="H560" s="33"/>
      <c r="I560" s="33"/>
    </row>
    <row r="561" spans="6:9" ht="13.2">
      <c r="F561" s="32"/>
      <c r="G561" s="32"/>
      <c r="H561" s="33"/>
      <c r="I561" s="33"/>
    </row>
    <row r="562" spans="6:9" ht="13.2">
      <c r="F562" s="32"/>
      <c r="G562" s="32"/>
      <c r="H562" s="33"/>
      <c r="I562" s="33"/>
    </row>
    <row r="563" spans="6:9" ht="13.2">
      <c r="F563" s="32"/>
      <c r="G563" s="32"/>
      <c r="H563" s="33"/>
      <c r="I563" s="33"/>
    </row>
    <row r="564" spans="6:9" ht="13.2">
      <c r="F564" s="32"/>
      <c r="G564" s="32"/>
      <c r="H564" s="33"/>
      <c r="I564" s="33"/>
    </row>
    <row r="565" spans="6:9" ht="13.2">
      <c r="F565" s="32"/>
      <c r="G565" s="32"/>
      <c r="H565" s="33"/>
      <c r="I565" s="33"/>
    </row>
    <row r="566" spans="6:9" ht="13.2">
      <c r="F566" s="32"/>
      <c r="G566" s="32"/>
      <c r="H566" s="33"/>
      <c r="I566" s="33"/>
    </row>
    <row r="567" spans="6:9" ht="13.2">
      <c r="F567" s="32"/>
      <c r="G567" s="32"/>
      <c r="H567" s="33"/>
      <c r="I567" s="33"/>
    </row>
    <row r="568" spans="6:9" ht="13.2">
      <c r="F568" s="32"/>
      <c r="G568" s="32"/>
      <c r="H568" s="33"/>
      <c r="I568" s="33"/>
    </row>
    <row r="569" spans="6:9" ht="13.2">
      <c r="F569" s="32"/>
      <c r="G569" s="32"/>
      <c r="H569" s="33"/>
      <c r="I569" s="33"/>
    </row>
    <row r="570" spans="6:9" ht="13.2">
      <c r="F570" s="32"/>
      <c r="G570" s="32"/>
      <c r="H570" s="33"/>
      <c r="I570" s="33"/>
    </row>
    <row r="571" spans="6:9" ht="13.2">
      <c r="F571" s="32"/>
      <c r="G571" s="32"/>
      <c r="H571" s="33"/>
      <c r="I571" s="33"/>
    </row>
    <row r="572" spans="6:9" ht="13.2">
      <c r="F572" s="32"/>
      <c r="G572" s="32"/>
      <c r="H572" s="33"/>
      <c r="I572" s="33"/>
    </row>
    <row r="573" spans="6:9" ht="13.2">
      <c r="F573" s="32"/>
      <c r="G573" s="32"/>
      <c r="H573" s="33"/>
      <c r="I573" s="33"/>
    </row>
    <row r="574" spans="6:9" ht="13.2">
      <c r="F574" s="32"/>
      <c r="G574" s="32"/>
      <c r="H574" s="33"/>
      <c r="I574" s="33"/>
    </row>
    <row r="575" spans="6:9" ht="13.2">
      <c r="F575" s="32"/>
      <c r="G575" s="32"/>
      <c r="H575" s="33"/>
      <c r="I575" s="33"/>
    </row>
    <row r="576" spans="6:9" ht="13.2">
      <c r="F576" s="32"/>
      <c r="G576" s="32"/>
      <c r="H576" s="33"/>
      <c r="I576" s="33"/>
    </row>
    <row r="577" spans="6:9" ht="13.2">
      <c r="F577" s="32"/>
      <c r="G577" s="32"/>
      <c r="H577" s="33"/>
      <c r="I577" s="33"/>
    </row>
    <row r="578" spans="6:9" ht="13.2">
      <c r="F578" s="32"/>
      <c r="G578" s="32"/>
      <c r="H578" s="33"/>
      <c r="I578" s="33"/>
    </row>
    <row r="579" spans="6:9" ht="13.2">
      <c r="F579" s="32"/>
      <c r="G579" s="32"/>
      <c r="H579" s="33"/>
      <c r="I579" s="33"/>
    </row>
    <row r="580" spans="6:9" ht="13.2">
      <c r="F580" s="32"/>
      <c r="G580" s="32"/>
      <c r="H580" s="33"/>
      <c r="I580" s="33"/>
    </row>
    <row r="581" spans="6:9" ht="13.2">
      <c r="F581" s="32"/>
      <c r="G581" s="32"/>
      <c r="H581" s="33"/>
      <c r="I581" s="33"/>
    </row>
    <row r="582" spans="6:9" ht="13.2">
      <c r="F582" s="32"/>
      <c r="G582" s="32"/>
      <c r="H582" s="33"/>
      <c r="I582" s="33"/>
    </row>
    <row r="583" spans="6:9" ht="13.2">
      <c r="F583" s="32"/>
      <c r="G583" s="32"/>
      <c r="H583" s="33"/>
      <c r="I583" s="33"/>
    </row>
    <row r="584" spans="6:9" ht="13.2">
      <c r="F584" s="32"/>
      <c r="G584" s="32"/>
      <c r="H584" s="33"/>
      <c r="I584" s="33"/>
    </row>
    <row r="585" spans="6:9" ht="13.2">
      <c r="F585" s="32"/>
      <c r="G585" s="32"/>
      <c r="H585" s="33"/>
      <c r="I585" s="33"/>
    </row>
    <row r="586" spans="6:9" ht="13.2">
      <c r="F586" s="32"/>
      <c r="G586" s="32"/>
      <c r="H586" s="33"/>
      <c r="I586" s="33"/>
    </row>
    <row r="587" spans="6:9" ht="13.2">
      <c r="F587" s="32"/>
      <c r="G587" s="32"/>
      <c r="H587" s="33"/>
      <c r="I587" s="33"/>
    </row>
    <row r="588" spans="6:9" ht="13.2">
      <c r="F588" s="32"/>
      <c r="G588" s="32"/>
      <c r="H588" s="33"/>
      <c r="I588" s="33"/>
    </row>
    <row r="589" spans="6:9" ht="13.2">
      <c r="F589" s="32"/>
      <c r="G589" s="32"/>
      <c r="H589" s="33"/>
      <c r="I589" s="33"/>
    </row>
    <row r="590" spans="6:9" ht="13.2">
      <c r="F590" s="32"/>
      <c r="G590" s="32"/>
      <c r="H590" s="33"/>
      <c r="I590" s="33"/>
    </row>
    <row r="591" spans="6:9" ht="13.2">
      <c r="F591" s="32"/>
      <c r="G591" s="32"/>
      <c r="H591" s="33"/>
      <c r="I591" s="33"/>
    </row>
    <row r="592" spans="6:9" ht="13.2">
      <c r="F592" s="32"/>
      <c r="G592" s="32"/>
      <c r="H592" s="33"/>
      <c r="I592" s="33"/>
    </row>
    <row r="593" spans="6:9" ht="13.2">
      <c r="F593" s="32"/>
      <c r="G593" s="32"/>
      <c r="H593" s="33"/>
      <c r="I593" s="33"/>
    </row>
    <row r="594" spans="6:9" ht="13.2">
      <c r="F594" s="32"/>
      <c r="G594" s="32"/>
      <c r="H594" s="33"/>
      <c r="I594" s="33"/>
    </row>
    <row r="595" spans="6:9" ht="13.2">
      <c r="F595" s="32"/>
      <c r="G595" s="32"/>
      <c r="H595" s="33"/>
      <c r="I595" s="33"/>
    </row>
    <row r="596" spans="6:9" ht="13.2">
      <c r="F596" s="32"/>
      <c r="G596" s="32"/>
      <c r="H596" s="33"/>
      <c r="I596" s="33"/>
    </row>
    <row r="597" spans="6:9" ht="13.2">
      <c r="F597" s="32"/>
      <c r="G597" s="32"/>
      <c r="H597" s="33"/>
      <c r="I597" s="33"/>
    </row>
    <row r="598" spans="6:9" ht="13.2">
      <c r="F598" s="32"/>
      <c r="G598" s="32"/>
      <c r="H598" s="33"/>
      <c r="I598" s="33"/>
    </row>
    <row r="599" spans="6:9" ht="13.2">
      <c r="F599" s="32"/>
      <c r="G599" s="32"/>
      <c r="H599" s="33"/>
      <c r="I599" s="33"/>
    </row>
    <row r="600" spans="6:9" ht="13.2">
      <c r="F600" s="32"/>
      <c r="G600" s="32"/>
      <c r="H600" s="33"/>
      <c r="I600" s="33"/>
    </row>
    <row r="601" spans="6:9" ht="13.2">
      <c r="F601" s="32"/>
      <c r="G601" s="32"/>
      <c r="H601" s="33"/>
      <c r="I601" s="33"/>
    </row>
    <row r="602" spans="6:9" ht="13.2">
      <c r="F602" s="32"/>
      <c r="G602" s="32"/>
      <c r="H602" s="33"/>
      <c r="I602" s="33"/>
    </row>
    <row r="603" spans="6:9" ht="13.2">
      <c r="F603" s="32"/>
      <c r="G603" s="32"/>
      <c r="H603" s="33"/>
      <c r="I603" s="33"/>
    </row>
    <row r="604" spans="6:9" ht="13.2">
      <c r="F604" s="32"/>
      <c r="G604" s="32"/>
      <c r="H604" s="33"/>
      <c r="I604" s="33"/>
    </row>
    <row r="605" spans="6:9" ht="13.2">
      <c r="F605" s="32"/>
      <c r="G605" s="32"/>
      <c r="H605" s="33"/>
      <c r="I605" s="33"/>
    </row>
    <row r="606" spans="6:9" ht="13.2">
      <c r="F606" s="32"/>
      <c r="G606" s="32"/>
      <c r="H606" s="33"/>
      <c r="I606" s="33"/>
    </row>
    <row r="607" spans="6:9" ht="13.2">
      <c r="F607" s="32"/>
      <c r="G607" s="32"/>
      <c r="H607" s="33"/>
      <c r="I607" s="33"/>
    </row>
    <row r="608" spans="6:9" ht="13.2">
      <c r="F608" s="32"/>
      <c r="G608" s="32"/>
      <c r="H608" s="33"/>
      <c r="I608" s="33"/>
    </row>
    <row r="609" spans="6:9" ht="13.2">
      <c r="F609" s="32"/>
      <c r="G609" s="32"/>
      <c r="H609" s="33"/>
      <c r="I609" s="33"/>
    </row>
    <row r="610" spans="6:9" ht="13.2">
      <c r="F610" s="32"/>
      <c r="G610" s="32"/>
      <c r="H610" s="33"/>
      <c r="I610" s="33"/>
    </row>
    <row r="611" spans="6:9" ht="13.2">
      <c r="F611" s="32"/>
      <c r="G611" s="32"/>
      <c r="H611" s="33"/>
      <c r="I611" s="33"/>
    </row>
    <row r="612" spans="6:9" ht="13.2">
      <c r="F612" s="32"/>
      <c r="G612" s="32"/>
      <c r="H612" s="33"/>
      <c r="I612" s="33"/>
    </row>
    <row r="613" spans="6:9" ht="13.2">
      <c r="F613" s="32"/>
      <c r="G613" s="32"/>
      <c r="H613" s="33"/>
      <c r="I613" s="33"/>
    </row>
    <row r="614" spans="6:9" ht="13.2">
      <c r="F614" s="32"/>
      <c r="G614" s="32"/>
      <c r="H614" s="33"/>
      <c r="I614" s="33"/>
    </row>
    <row r="615" spans="6:9" ht="13.2">
      <c r="F615" s="32"/>
      <c r="G615" s="32"/>
      <c r="H615" s="33"/>
      <c r="I615" s="33"/>
    </row>
    <row r="616" spans="6:9" ht="13.2">
      <c r="F616" s="32"/>
      <c r="G616" s="32"/>
      <c r="H616" s="33"/>
      <c r="I616" s="33"/>
    </row>
    <row r="617" spans="6:9" ht="13.2">
      <c r="F617" s="32"/>
      <c r="G617" s="32"/>
      <c r="H617" s="33"/>
      <c r="I617" s="33"/>
    </row>
    <row r="618" spans="6:9" ht="13.2">
      <c r="F618" s="32"/>
      <c r="G618" s="32"/>
      <c r="H618" s="33"/>
      <c r="I618" s="33"/>
    </row>
    <row r="619" spans="6:9" ht="13.2">
      <c r="F619" s="32"/>
      <c r="G619" s="32"/>
      <c r="H619" s="33"/>
      <c r="I619" s="33"/>
    </row>
    <row r="620" spans="6:9" ht="13.2">
      <c r="F620" s="32"/>
      <c r="G620" s="32"/>
      <c r="H620" s="33"/>
      <c r="I620" s="33"/>
    </row>
    <row r="621" spans="6:9" ht="13.2">
      <c r="F621" s="32"/>
      <c r="G621" s="32"/>
      <c r="H621" s="33"/>
      <c r="I621" s="33"/>
    </row>
    <row r="622" spans="6:9" ht="13.2">
      <c r="F622" s="32"/>
      <c r="G622" s="32"/>
      <c r="H622" s="33"/>
      <c r="I622" s="33"/>
    </row>
    <row r="623" spans="6:9" ht="13.2">
      <c r="F623" s="32"/>
      <c r="G623" s="32"/>
      <c r="H623" s="33"/>
      <c r="I623" s="33"/>
    </row>
    <row r="624" spans="6:9" ht="13.2">
      <c r="F624" s="32"/>
      <c r="G624" s="32"/>
      <c r="H624" s="33"/>
      <c r="I624" s="33"/>
    </row>
    <row r="625" spans="6:9" ht="13.2">
      <c r="F625" s="32"/>
      <c r="G625" s="32"/>
      <c r="H625" s="33"/>
      <c r="I625" s="33"/>
    </row>
    <row r="626" spans="6:9" ht="13.2">
      <c r="F626" s="32"/>
      <c r="G626" s="32"/>
      <c r="H626" s="33"/>
      <c r="I626" s="33"/>
    </row>
    <row r="627" spans="6:9" ht="13.2">
      <c r="F627" s="32"/>
      <c r="G627" s="32"/>
      <c r="H627" s="33"/>
      <c r="I627" s="33"/>
    </row>
    <row r="628" spans="6:9" ht="13.2">
      <c r="F628" s="32"/>
      <c r="G628" s="32"/>
      <c r="H628" s="33"/>
      <c r="I628" s="33"/>
    </row>
    <row r="629" spans="6:9" ht="13.2">
      <c r="F629" s="32"/>
      <c r="G629" s="32"/>
      <c r="H629" s="33"/>
      <c r="I629" s="33"/>
    </row>
    <row r="630" spans="6:9" ht="13.2">
      <c r="F630" s="32"/>
      <c r="G630" s="32"/>
      <c r="H630" s="33"/>
      <c r="I630" s="33"/>
    </row>
    <row r="631" spans="6:9" ht="13.2">
      <c r="F631" s="32"/>
      <c r="G631" s="32"/>
      <c r="H631" s="33"/>
      <c r="I631" s="33"/>
    </row>
    <row r="632" spans="6:9" ht="13.2">
      <c r="F632" s="32"/>
      <c r="G632" s="32"/>
      <c r="H632" s="33"/>
      <c r="I632" s="33"/>
    </row>
    <row r="633" spans="6:9" ht="13.2">
      <c r="F633" s="32"/>
      <c r="G633" s="32"/>
      <c r="H633" s="33"/>
      <c r="I633" s="33"/>
    </row>
    <row r="634" spans="6:9" ht="13.2">
      <c r="F634" s="32"/>
      <c r="G634" s="32"/>
      <c r="H634" s="33"/>
      <c r="I634" s="33"/>
    </row>
    <row r="635" spans="6:9" ht="13.2">
      <c r="F635" s="32"/>
      <c r="G635" s="32"/>
      <c r="H635" s="33"/>
      <c r="I635" s="33"/>
    </row>
    <row r="636" spans="6:9" ht="13.2">
      <c r="F636" s="32"/>
      <c r="G636" s="32"/>
      <c r="H636" s="33"/>
      <c r="I636" s="33"/>
    </row>
    <row r="637" spans="6:9" ht="13.2">
      <c r="F637" s="32"/>
      <c r="G637" s="32"/>
      <c r="H637" s="33"/>
      <c r="I637" s="33"/>
    </row>
    <row r="638" spans="6:9" ht="13.2">
      <c r="F638" s="32"/>
      <c r="G638" s="32"/>
      <c r="H638" s="33"/>
      <c r="I638" s="33"/>
    </row>
    <row r="639" spans="6:9" ht="13.2">
      <c r="F639" s="32"/>
      <c r="G639" s="32"/>
      <c r="H639" s="33"/>
      <c r="I639" s="33"/>
    </row>
    <row r="640" spans="6:9" ht="13.2">
      <c r="F640" s="32"/>
      <c r="G640" s="32"/>
      <c r="H640" s="33"/>
      <c r="I640" s="33"/>
    </row>
    <row r="641" spans="6:9" ht="13.2">
      <c r="F641" s="32"/>
      <c r="G641" s="32"/>
      <c r="H641" s="33"/>
      <c r="I641" s="33"/>
    </row>
    <row r="642" spans="6:9" ht="13.2">
      <c r="F642" s="32"/>
      <c r="G642" s="32"/>
      <c r="H642" s="33"/>
      <c r="I642" s="33"/>
    </row>
    <row r="643" spans="6:9" ht="13.2">
      <c r="F643" s="32"/>
      <c r="G643" s="32"/>
      <c r="H643" s="33"/>
      <c r="I643" s="33"/>
    </row>
    <row r="644" spans="6:9" ht="13.2">
      <c r="F644" s="32"/>
      <c r="G644" s="32"/>
      <c r="H644" s="33"/>
      <c r="I644" s="33"/>
    </row>
    <row r="645" spans="6:9" ht="13.2">
      <c r="F645" s="32"/>
      <c r="G645" s="32"/>
      <c r="H645" s="33"/>
      <c r="I645" s="33"/>
    </row>
    <row r="646" spans="6:9" ht="13.2">
      <c r="F646" s="32"/>
      <c r="G646" s="32"/>
      <c r="H646" s="33"/>
      <c r="I646" s="33"/>
    </row>
    <row r="647" spans="6:9" ht="13.2">
      <c r="F647" s="32"/>
      <c r="G647" s="32"/>
      <c r="H647" s="33"/>
      <c r="I647" s="33"/>
    </row>
    <row r="648" spans="6:9" ht="13.2">
      <c r="F648" s="32"/>
      <c r="G648" s="32"/>
      <c r="H648" s="33"/>
      <c r="I648" s="33"/>
    </row>
    <row r="649" spans="6:9" ht="13.2">
      <c r="F649" s="32"/>
      <c r="G649" s="32"/>
      <c r="H649" s="33"/>
      <c r="I649" s="33"/>
    </row>
    <row r="650" spans="6:9" ht="13.2">
      <c r="F650" s="32"/>
      <c r="G650" s="32"/>
      <c r="H650" s="33"/>
      <c r="I650" s="33"/>
    </row>
    <row r="651" spans="6:9" ht="13.2">
      <c r="F651" s="32"/>
      <c r="G651" s="32"/>
      <c r="H651" s="33"/>
      <c r="I651" s="33"/>
    </row>
    <row r="652" spans="6:9" ht="13.2">
      <c r="F652" s="32"/>
      <c r="G652" s="32"/>
      <c r="H652" s="33"/>
      <c r="I652" s="33"/>
    </row>
    <row r="653" spans="6:9" ht="13.2">
      <c r="F653" s="32"/>
      <c r="G653" s="32"/>
      <c r="H653" s="33"/>
      <c r="I653" s="33"/>
    </row>
    <row r="654" spans="6:9" ht="13.2">
      <c r="F654" s="32"/>
      <c r="G654" s="32"/>
      <c r="H654" s="33"/>
      <c r="I654" s="33"/>
    </row>
    <row r="655" spans="6:9" ht="13.2">
      <c r="F655" s="32"/>
      <c r="G655" s="32"/>
      <c r="H655" s="33"/>
      <c r="I655" s="33"/>
    </row>
    <row r="656" spans="6:9" ht="13.2">
      <c r="F656" s="32"/>
      <c r="G656" s="32"/>
      <c r="H656" s="33"/>
      <c r="I656" s="33"/>
    </row>
    <row r="657" spans="6:9" ht="13.2">
      <c r="F657" s="32"/>
      <c r="G657" s="32"/>
      <c r="H657" s="33"/>
      <c r="I657" s="33"/>
    </row>
    <row r="658" spans="6:9" ht="13.2">
      <c r="F658" s="32"/>
      <c r="G658" s="32"/>
      <c r="H658" s="33"/>
      <c r="I658" s="33"/>
    </row>
    <row r="659" spans="6:9" ht="13.2">
      <c r="F659" s="32"/>
      <c r="G659" s="32"/>
      <c r="H659" s="33"/>
      <c r="I659" s="33"/>
    </row>
    <row r="660" spans="6:9" ht="13.2">
      <c r="F660" s="32"/>
      <c r="G660" s="32"/>
      <c r="H660" s="33"/>
      <c r="I660" s="33"/>
    </row>
    <row r="661" spans="6:9" ht="13.2">
      <c r="F661" s="32"/>
      <c r="G661" s="32"/>
      <c r="H661" s="33"/>
      <c r="I661" s="33"/>
    </row>
    <row r="662" spans="6:9" ht="13.2">
      <c r="F662" s="32"/>
      <c r="G662" s="32"/>
      <c r="H662" s="33"/>
      <c r="I662" s="33"/>
    </row>
    <row r="663" spans="6:9" ht="13.2">
      <c r="F663" s="32"/>
      <c r="G663" s="32"/>
      <c r="H663" s="33"/>
      <c r="I663" s="33"/>
    </row>
    <row r="664" spans="6:9" ht="13.2">
      <c r="F664" s="32"/>
      <c r="G664" s="32"/>
      <c r="H664" s="33"/>
      <c r="I664" s="33"/>
    </row>
    <row r="665" spans="6:9" ht="13.2">
      <c r="F665" s="32"/>
      <c r="G665" s="32"/>
      <c r="H665" s="33"/>
      <c r="I665" s="33"/>
    </row>
    <row r="666" spans="6:9" ht="13.2">
      <c r="F666" s="32"/>
      <c r="G666" s="32"/>
      <c r="H666" s="33"/>
      <c r="I666" s="33"/>
    </row>
    <row r="667" spans="6:9" ht="13.2">
      <c r="F667" s="32"/>
      <c r="G667" s="32"/>
      <c r="H667" s="33"/>
      <c r="I667" s="33"/>
    </row>
    <row r="668" spans="6:9" ht="13.2">
      <c r="F668" s="32"/>
      <c r="G668" s="32"/>
      <c r="H668" s="33"/>
      <c r="I668" s="33"/>
    </row>
    <row r="669" spans="6:9" ht="13.2">
      <c r="F669" s="32"/>
      <c r="G669" s="32"/>
      <c r="H669" s="33"/>
      <c r="I669" s="33"/>
    </row>
    <row r="670" spans="6:9" ht="13.2">
      <c r="F670" s="32"/>
      <c r="G670" s="32"/>
      <c r="H670" s="33"/>
      <c r="I670" s="33"/>
    </row>
    <row r="671" spans="6:9" ht="13.2">
      <c r="F671" s="32"/>
      <c r="G671" s="32"/>
      <c r="H671" s="33"/>
      <c r="I671" s="33"/>
    </row>
    <row r="672" spans="6:9" ht="13.2">
      <c r="F672" s="32"/>
      <c r="G672" s="32"/>
      <c r="H672" s="33"/>
      <c r="I672" s="33"/>
    </row>
    <row r="673" spans="6:9" ht="13.2">
      <c r="F673" s="32"/>
      <c r="G673" s="32"/>
      <c r="H673" s="33"/>
      <c r="I673" s="33"/>
    </row>
    <row r="674" spans="6:9" ht="13.2">
      <c r="F674" s="32"/>
      <c r="G674" s="32"/>
      <c r="H674" s="33"/>
      <c r="I674" s="33"/>
    </row>
    <row r="675" spans="6:9" ht="13.2">
      <c r="F675" s="32"/>
      <c r="G675" s="32"/>
      <c r="H675" s="33"/>
      <c r="I675" s="33"/>
    </row>
    <row r="676" spans="6:9" ht="13.2">
      <c r="F676" s="32"/>
      <c r="G676" s="32"/>
      <c r="H676" s="33"/>
      <c r="I676" s="33"/>
    </row>
    <row r="677" spans="6:9" ht="13.2">
      <c r="F677" s="32"/>
      <c r="G677" s="32"/>
      <c r="H677" s="33"/>
      <c r="I677" s="33"/>
    </row>
    <row r="678" spans="6:9" ht="13.2">
      <c r="F678" s="32"/>
      <c r="G678" s="32"/>
      <c r="H678" s="33"/>
      <c r="I678" s="33"/>
    </row>
    <row r="679" spans="6:9" ht="13.2">
      <c r="F679" s="32"/>
      <c r="G679" s="32"/>
      <c r="H679" s="33"/>
      <c r="I679" s="33"/>
    </row>
    <row r="680" spans="6:9" ht="13.2">
      <c r="F680" s="32"/>
      <c r="G680" s="32"/>
      <c r="H680" s="33"/>
      <c r="I680" s="33"/>
    </row>
    <row r="681" spans="6:9" ht="13.2">
      <c r="F681" s="32"/>
      <c r="G681" s="32"/>
      <c r="H681" s="33"/>
      <c r="I681" s="33"/>
    </row>
    <row r="682" spans="6:9" ht="13.2">
      <c r="F682" s="32"/>
      <c r="G682" s="32"/>
      <c r="H682" s="33"/>
      <c r="I682" s="33"/>
    </row>
    <row r="683" spans="6:9" ht="13.2">
      <c r="F683" s="32"/>
      <c r="G683" s="32"/>
      <c r="H683" s="33"/>
      <c r="I683" s="33"/>
    </row>
    <row r="684" spans="6:9" ht="13.2">
      <c r="F684" s="32"/>
      <c r="G684" s="32"/>
      <c r="H684" s="33"/>
      <c r="I684" s="33"/>
    </row>
    <row r="685" spans="6:9" ht="13.2">
      <c r="F685" s="32"/>
      <c r="G685" s="32"/>
      <c r="H685" s="33"/>
      <c r="I685" s="33"/>
    </row>
    <row r="686" spans="6:9" ht="13.2">
      <c r="F686" s="32"/>
      <c r="G686" s="32"/>
      <c r="H686" s="33"/>
      <c r="I686" s="33"/>
    </row>
    <row r="687" spans="6:9" ht="13.2">
      <c r="F687" s="32"/>
      <c r="G687" s="32"/>
      <c r="H687" s="33"/>
      <c r="I687" s="33"/>
    </row>
    <row r="688" spans="6:9" ht="13.2">
      <c r="F688" s="32"/>
      <c r="G688" s="32"/>
      <c r="H688" s="33"/>
      <c r="I688" s="33"/>
    </row>
    <row r="689" spans="6:9" ht="13.2">
      <c r="F689" s="32"/>
      <c r="G689" s="32"/>
      <c r="H689" s="33"/>
      <c r="I689" s="33"/>
    </row>
    <row r="690" spans="6:9" ht="13.2">
      <c r="F690" s="32"/>
      <c r="G690" s="32"/>
      <c r="H690" s="33"/>
      <c r="I690" s="33"/>
    </row>
    <row r="691" spans="6:9" ht="13.2">
      <c r="F691" s="32"/>
      <c r="G691" s="32"/>
      <c r="H691" s="33"/>
      <c r="I691" s="33"/>
    </row>
    <row r="692" spans="6:9" ht="13.2">
      <c r="F692" s="32"/>
      <c r="G692" s="32"/>
      <c r="H692" s="33"/>
      <c r="I692" s="33"/>
    </row>
    <row r="693" spans="6:9" ht="13.2">
      <c r="F693" s="32"/>
      <c r="G693" s="32"/>
      <c r="H693" s="33"/>
      <c r="I693" s="33"/>
    </row>
    <row r="694" spans="6:9" ht="13.2">
      <c r="F694" s="32"/>
      <c r="G694" s="32"/>
      <c r="H694" s="33"/>
      <c r="I694" s="33"/>
    </row>
    <row r="695" spans="6:9" ht="13.2">
      <c r="F695" s="32"/>
      <c r="G695" s="32"/>
      <c r="H695" s="33"/>
      <c r="I695" s="33"/>
    </row>
    <row r="696" spans="6:9" ht="13.2">
      <c r="F696" s="32"/>
      <c r="G696" s="32"/>
      <c r="H696" s="33"/>
      <c r="I696" s="33"/>
    </row>
    <row r="697" spans="6:9" ht="13.2">
      <c r="F697" s="32"/>
      <c r="G697" s="32"/>
      <c r="H697" s="33"/>
      <c r="I697" s="33"/>
    </row>
    <row r="698" spans="6:9" ht="13.2">
      <c r="F698" s="32"/>
      <c r="G698" s="32"/>
      <c r="H698" s="33"/>
      <c r="I698" s="33"/>
    </row>
    <row r="699" spans="6:9" ht="13.2">
      <c r="F699" s="32"/>
      <c r="G699" s="32"/>
      <c r="H699" s="33"/>
      <c r="I699" s="33"/>
    </row>
    <row r="700" spans="6:9" ht="13.2">
      <c r="F700" s="32"/>
      <c r="G700" s="32"/>
      <c r="H700" s="33"/>
      <c r="I700" s="33"/>
    </row>
    <row r="701" spans="6:9" ht="13.2">
      <c r="F701" s="32"/>
      <c r="G701" s="32"/>
      <c r="H701" s="33"/>
      <c r="I701" s="33"/>
    </row>
    <row r="702" spans="6:9" ht="13.2">
      <c r="F702" s="32"/>
      <c r="G702" s="32"/>
      <c r="H702" s="33"/>
      <c r="I702" s="33"/>
    </row>
    <row r="703" spans="6:9" ht="13.2">
      <c r="F703" s="32"/>
      <c r="G703" s="32"/>
      <c r="H703" s="33"/>
      <c r="I703" s="33"/>
    </row>
    <row r="704" spans="6:9" ht="13.2">
      <c r="F704" s="32"/>
      <c r="G704" s="32"/>
      <c r="H704" s="33"/>
      <c r="I704" s="33"/>
    </row>
    <row r="705" spans="6:9" ht="13.2">
      <c r="F705" s="32"/>
      <c r="G705" s="32"/>
      <c r="H705" s="33"/>
      <c r="I705" s="33"/>
    </row>
    <row r="706" spans="6:9" ht="13.2">
      <c r="F706" s="32"/>
      <c r="G706" s="32"/>
      <c r="H706" s="33"/>
      <c r="I706" s="33"/>
    </row>
    <row r="707" spans="6:9" ht="13.2">
      <c r="F707" s="32"/>
      <c r="G707" s="32"/>
      <c r="H707" s="33"/>
      <c r="I707" s="33"/>
    </row>
    <row r="708" spans="6:9" ht="13.2">
      <c r="F708" s="32"/>
      <c r="G708" s="32"/>
      <c r="H708" s="33"/>
      <c r="I708" s="33"/>
    </row>
    <row r="709" spans="6:9" ht="13.2">
      <c r="F709" s="32"/>
      <c r="G709" s="32"/>
      <c r="H709" s="33"/>
      <c r="I709" s="33"/>
    </row>
    <row r="710" spans="6:9" ht="13.2">
      <c r="F710" s="32"/>
      <c r="G710" s="32"/>
      <c r="H710" s="33"/>
      <c r="I710" s="33"/>
    </row>
    <row r="711" spans="6:9" ht="13.2">
      <c r="F711" s="32"/>
      <c r="G711" s="32"/>
      <c r="H711" s="33"/>
      <c r="I711" s="33"/>
    </row>
    <row r="712" spans="6:9" ht="13.2">
      <c r="F712" s="32"/>
      <c r="G712" s="32"/>
      <c r="H712" s="33"/>
      <c r="I712" s="33"/>
    </row>
    <row r="713" spans="6:9" ht="13.2">
      <c r="F713" s="32"/>
      <c r="G713" s="32"/>
      <c r="H713" s="33"/>
      <c r="I713" s="33"/>
    </row>
    <row r="714" spans="6:9" ht="13.2">
      <c r="F714" s="32"/>
      <c r="G714" s="32"/>
      <c r="H714" s="33"/>
      <c r="I714" s="33"/>
    </row>
    <row r="715" spans="6:9" ht="13.2">
      <c r="F715" s="32"/>
      <c r="G715" s="32"/>
      <c r="H715" s="33"/>
      <c r="I715" s="33"/>
    </row>
    <row r="716" spans="6:9" ht="13.2">
      <c r="F716" s="32"/>
      <c r="G716" s="32"/>
      <c r="H716" s="33"/>
      <c r="I716" s="33"/>
    </row>
    <row r="717" spans="6:9" ht="13.2">
      <c r="F717" s="32"/>
      <c r="G717" s="32"/>
      <c r="H717" s="33"/>
      <c r="I717" s="33"/>
    </row>
    <row r="718" spans="6:9" ht="13.2">
      <c r="F718" s="32"/>
      <c r="G718" s="32"/>
      <c r="H718" s="33"/>
      <c r="I718" s="33"/>
    </row>
    <row r="719" spans="6:9" ht="13.2">
      <c r="F719" s="32"/>
      <c r="G719" s="32"/>
      <c r="H719" s="33"/>
      <c r="I719" s="33"/>
    </row>
    <row r="720" spans="6:9" ht="13.2">
      <c r="F720" s="32"/>
      <c r="G720" s="32"/>
      <c r="H720" s="33"/>
      <c r="I720" s="33"/>
    </row>
    <row r="721" spans="6:9" ht="13.2">
      <c r="F721" s="32"/>
      <c r="G721" s="32"/>
      <c r="H721" s="33"/>
      <c r="I721" s="33"/>
    </row>
    <row r="722" spans="6:9" ht="13.2">
      <c r="F722" s="32"/>
      <c r="G722" s="32"/>
      <c r="H722" s="33"/>
      <c r="I722" s="33"/>
    </row>
    <row r="723" spans="6:9" ht="13.2">
      <c r="F723" s="32"/>
      <c r="G723" s="32"/>
      <c r="H723" s="33"/>
      <c r="I723" s="33"/>
    </row>
    <row r="724" spans="6:9" ht="13.2">
      <c r="F724" s="32"/>
      <c r="G724" s="32"/>
      <c r="H724" s="33"/>
      <c r="I724" s="33"/>
    </row>
    <row r="725" spans="6:9" ht="13.2">
      <c r="F725" s="32"/>
      <c r="G725" s="32"/>
      <c r="H725" s="33"/>
      <c r="I725" s="33"/>
    </row>
    <row r="726" spans="6:9" ht="13.2">
      <c r="F726" s="32"/>
      <c r="G726" s="32"/>
      <c r="H726" s="33"/>
      <c r="I726" s="33"/>
    </row>
    <row r="727" spans="6:9" ht="13.2">
      <c r="F727" s="32"/>
      <c r="G727" s="32"/>
      <c r="H727" s="33"/>
      <c r="I727" s="33"/>
    </row>
    <row r="728" spans="6:9" ht="13.2">
      <c r="F728" s="32"/>
      <c r="G728" s="32"/>
      <c r="H728" s="33"/>
      <c r="I728" s="33"/>
    </row>
    <row r="729" spans="6:9" ht="13.2">
      <c r="F729" s="32"/>
      <c r="G729" s="32"/>
      <c r="H729" s="33"/>
      <c r="I729" s="33"/>
    </row>
    <row r="730" spans="6:9" ht="13.2">
      <c r="F730" s="32"/>
      <c r="G730" s="32"/>
      <c r="H730" s="33"/>
      <c r="I730" s="33"/>
    </row>
    <row r="731" spans="6:9" ht="13.2">
      <c r="F731" s="32"/>
      <c r="G731" s="32"/>
      <c r="H731" s="33"/>
      <c r="I731" s="33"/>
    </row>
    <row r="732" spans="6:9" ht="13.2">
      <c r="F732" s="32"/>
      <c r="G732" s="32"/>
      <c r="H732" s="33"/>
      <c r="I732" s="33"/>
    </row>
    <row r="733" spans="6:9" ht="13.2">
      <c r="F733" s="32"/>
      <c r="G733" s="32"/>
      <c r="H733" s="33"/>
      <c r="I733" s="33"/>
    </row>
    <row r="734" spans="6:9" ht="13.2">
      <c r="F734" s="32"/>
      <c r="G734" s="32"/>
      <c r="H734" s="33"/>
      <c r="I734" s="33"/>
    </row>
    <row r="735" spans="6:9" ht="13.2">
      <c r="F735" s="32"/>
      <c r="G735" s="32"/>
      <c r="H735" s="33"/>
      <c r="I735" s="33"/>
    </row>
    <row r="736" spans="6:9" ht="13.2">
      <c r="F736" s="32"/>
      <c r="G736" s="32"/>
      <c r="H736" s="33"/>
      <c r="I736" s="33"/>
    </row>
    <row r="737" spans="6:9" ht="13.2">
      <c r="F737" s="32"/>
      <c r="G737" s="32"/>
      <c r="H737" s="33"/>
      <c r="I737" s="33"/>
    </row>
    <row r="738" spans="6:9" ht="13.2">
      <c r="F738" s="32"/>
      <c r="G738" s="32"/>
      <c r="H738" s="33"/>
      <c r="I738" s="33"/>
    </row>
    <row r="739" spans="6:9" ht="13.2">
      <c r="F739" s="32"/>
      <c r="G739" s="32"/>
      <c r="H739" s="33"/>
      <c r="I739" s="33"/>
    </row>
    <row r="740" spans="6:9" ht="13.2">
      <c r="F740" s="32"/>
      <c r="G740" s="32"/>
      <c r="H740" s="33"/>
      <c r="I740" s="33"/>
    </row>
    <row r="741" spans="6:9" ht="13.2">
      <c r="F741" s="32"/>
      <c r="G741" s="32"/>
      <c r="H741" s="33"/>
      <c r="I741" s="33"/>
    </row>
    <row r="742" spans="6:9" ht="13.2">
      <c r="F742" s="32"/>
      <c r="G742" s="32"/>
      <c r="H742" s="33"/>
      <c r="I742" s="33"/>
    </row>
    <row r="743" spans="6:9" ht="13.2">
      <c r="F743" s="32"/>
      <c r="G743" s="32"/>
      <c r="H743" s="33"/>
      <c r="I743" s="33"/>
    </row>
    <row r="744" spans="6:9" ht="13.2">
      <c r="F744" s="32"/>
      <c r="G744" s="32"/>
      <c r="H744" s="33"/>
      <c r="I744" s="33"/>
    </row>
    <row r="745" spans="6:9" ht="13.2">
      <c r="F745" s="32"/>
      <c r="G745" s="32"/>
      <c r="H745" s="33"/>
      <c r="I745" s="33"/>
    </row>
    <row r="746" spans="6:9" ht="13.2">
      <c r="F746" s="32"/>
      <c r="G746" s="32"/>
      <c r="H746" s="33"/>
      <c r="I746" s="33"/>
    </row>
    <row r="747" spans="6:9" ht="13.2">
      <c r="F747" s="32"/>
      <c r="G747" s="32"/>
      <c r="H747" s="33"/>
      <c r="I747" s="33"/>
    </row>
    <row r="748" spans="6:9" ht="13.2">
      <c r="F748" s="32"/>
      <c r="G748" s="32"/>
      <c r="H748" s="33"/>
      <c r="I748" s="33"/>
    </row>
    <row r="749" spans="6:9" ht="13.2">
      <c r="F749" s="32"/>
      <c r="G749" s="32"/>
      <c r="H749" s="33"/>
      <c r="I749" s="33"/>
    </row>
    <row r="750" spans="6:9" ht="13.2">
      <c r="F750" s="32"/>
      <c r="G750" s="32"/>
      <c r="H750" s="33"/>
      <c r="I750" s="33"/>
    </row>
    <row r="751" spans="6:9" ht="13.2">
      <c r="F751" s="32"/>
      <c r="G751" s="32"/>
      <c r="H751" s="33"/>
      <c r="I751" s="33"/>
    </row>
    <row r="752" spans="6:9" ht="13.2">
      <c r="F752" s="32"/>
      <c r="G752" s="32"/>
      <c r="H752" s="33"/>
      <c r="I752" s="33"/>
    </row>
    <row r="753" spans="6:9" ht="13.2">
      <c r="F753" s="32"/>
      <c r="G753" s="32"/>
      <c r="H753" s="33"/>
      <c r="I753" s="33"/>
    </row>
    <row r="754" spans="6:9" ht="13.2">
      <c r="F754" s="32"/>
      <c r="G754" s="32"/>
      <c r="H754" s="33"/>
      <c r="I754" s="33"/>
    </row>
    <row r="755" spans="6:9" ht="13.2">
      <c r="F755" s="32"/>
      <c r="G755" s="32"/>
      <c r="H755" s="33"/>
      <c r="I755" s="33"/>
    </row>
    <row r="756" spans="6:9" ht="13.2">
      <c r="F756" s="32"/>
      <c r="G756" s="32"/>
      <c r="H756" s="33"/>
      <c r="I756" s="33"/>
    </row>
    <row r="757" spans="6:9" ht="13.2">
      <c r="F757" s="32"/>
      <c r="G757" s="32"/>
      <c r="H757" s="33"/>
      <c r="I757" s="33"/>
    </row>
    <row r="758" spans="6:9" ht="13.2">
      <c r="F758" s="32"/>
      <c r="G758" s="32"/>
      <c r="H758" s="33"/>
      <c r="I758" s="33"/>
    </row>
    <row r="759" spans="6:9" ht="13.2">
      <c r="F759" s="32"/>
      <c r="G759" s="32"/>
      <c r="H759" s="33"/>
      <c r="I759" s="33"/>
    </row>
    <row r="760" spans="6:9" ht="13.2">
      <c r="F760" s="32"/>
      <c r="G760" s="32"/>
      <c r="H760" s="33"/>
      <c r="I760" s="33"/>
    </row>
    <row r="761" spans="6:9" ht="13.2">
      <c r="F761" s="32"/>
      <c r="G761" s="32"/>
      <c r="H761" s="33"/>
      <c r="I761" s="33"/>
    </row>
    <row r="762" spans="6:9" ht="13.2">
      <c r="F762" s="32"/>
      <c r="G762" s="32"/>
      <c r="H762" s="33"/>
      <c r="I762" s="33"/>
    </row>
    <row r="763" spans="6:9" ht="13.2">
      <c r="F763" s="32"/>
      <c r="G763" s="32"/>
      <c r="H763" s="33"/>
      <c r="I763" s="33"/>
    </row>
    <row r="764" spans="6:9" ht="13.2">
      <c r="F764" s="32"/>
      <c r="G764" s="32"/>
      <c r="H764" s="33"/>
      <c r="I764" s="33"/>
    </row>
    <row r="765" spans="6:9" ht="13.2">
      <c r="F765" s="32"/>
      <c r="G765" s="32"/>
      <c r="H765" s="33"/>
      <c r="I765" s="33"/>
    </row>
    <row r="766" spans="6:9" ht="13.2">
      <c r="F766" s="32"/>
      <c r="G766" s="32"/>
      <c r="H766" s="33"/>
      <c r="I766" s="33"/>
    </row>
    <row r="767" spans="6:9" ht="13.2">
      <c r="F767" s="32"/>
      <c r="G767" s="32"/>
      <c r="H767" s="33"/>
      <c r="I767" s="33"/>
    </row>
    <row r="768" spans="6:9" ht="13.2">
      <c r="F768" s="32"/>
      <c r="G768" s="32"/>
      <c r="H768" s="33"/>
      <c r="I768" s="33"/>
    </row>
    <row r="769" spans="6:9" ht="13.2">
      <c r="F769" s="32"/>
      <c r="G769" s="32"/>
      <c r="H769" s="33"/>
      <c r="I769" s="33"/>
    </row>
    <row r="770" spans="6:9" ht="13.2">
      <c r="F770" s="32"/>
      <c r="G770" s="32"/>
      <c r="H770" s="33"/>
      <c r="I770" s="33"/>
    </row>
    <row r="771" spans="6:9" ht="13.2">
      <c r="F771" s="32"/>
      <c r="G771" s="32"/>
      <c r="H771" s="33"/>
      <c r="I771" s="33"/>
    </row>
    <row r="772" spans="6:9" ht="13.2">
      <c r="F772" s="32"/>
      <c r="G772" s="32"/>
      <c r="H772" s="33"/>
      <c r="I772" s="33"/>
    </row>
    <row r="773" spans="6:9" ht="13.2">
      <c r="F773" s="32"/>
      <c r="G773" s="32"/>
      <c r="H773" s="33"/>
      <c r="I773" s="33"/>
    </row>
    <row r="774" spans="6:9" ht="13.2">
      <c r="F774" s="32"/>
      <c r="G774" s="32"/>
      <c r="H774" s="33"/>
      <c r="I774" s="33"/>
    </row>
    <row r="775" spans="6:9" ht="13.2">
      <c r="F775" s="32"/>
      <c r="G775" s="32"/>
      <c r="H775" s="33"/>
      <c r="I775" s="33"/>
    </row>
    <row r="776" spans="6:9" ht="13.2">
      <c r="F776" s="32"/>
      <c r="G776" s="32"/>
      <c r="H776" s="33"/>
      <c r="I776" s="33"/>
    </row>
    <row r="777" spans="6:9" ht="13.2">
      <c r="F777" s="32"/>
      <c r="G777" s="32"/>
      <c r="H777" s="33"/>
      <c r="I777" s="33"/>
    </row>
    <row r="778" spans="6:9" ht="13.2">
      <c r="F778" s="32"/>
      <c r="G778" s="32"/>
      <c r="H778" s="33"/>
      <c r="I778" s="33"/>
    </row>
    <row r="779" spans="6:9" ht="13.2">
      <c r="F779" s="32"/>
      <c r="G779" s="32"/>
      <c r="H779" s="33"/>
      <c r="I779" s="33"/>
    </row>
    <row r="780" spans="6:9" ht="13.2">
      <c r="F780" s="32"/>
      <c r="G780" s="32"/>
      <c r="H780" s="33"/>
      <c r="I780" s="33"/>
    </row>
    <row r="781" spans="6:9" ht="13.2">
      <c r="F781" s="32"/>
      <c r="G781" s="32"/>
      <c r="H781" s="33"/>
      <c r="I781" s="33"/>
    </row>
    <row r="782" spans="6:9" ht="13.2">
      <c r="F782" s="32"/>
      <c r="G782" s="32"/>
      <c r="H782" s="33"/>
      <c r="I782" s="33"/>
    </row>
    <row r="783" spans="6:9" ht="13.2">
      <c r="F783" s="32"/>
      <c r="G783" s="32"/>
      <c r="H783" s="33"/>
      <c r="I783" s="33"/>
    </row>
    <row r="784" spans="6:9" ht="13.2">
      <c r="F784" s="32"/>
      <c r="G784" s="32"/>
      <c r="H784" s="33"/>
      <c r="I784" s="33"/>
    </row>
    <row r="785" spans="6:9" ht="13.2">
      <c r="F785" s="32"/>
      <c r="G785" s="32"/>
      <c r="H785" s="33"/>
      <c r="I785" s="33"/>
    </row>
    <row r="786" spans="6:9" ht="13.2">
      <c r="F786" s="32"/>
      <c r="G786" s="32"/>
      <c r="H786" s="33"/>
      <c r="I786" s="33"/>
    </row>
    <row r="787" spans="6:9" ht="13.2">
      <c r="F787" s="32"/>
      <c r="G787" s="32"/>
      <c r="H787" s="33"/>
      <c r="I787" s="33"/>
    </row>
    <row r="788" spans="6:9" ht="13.2">
      <c r="F788" s="32"/>
      <c r="G788" s="32"/>
      <c r="H788" s="33"/>
      <c r="I788" s="33"/>
    </row>
    <row r="789" spans="6:9" ht="13.2">
      <c r="F789" s="32"/>
      <c r="G789" s="32"/>
      <c r="H789" s="33"/>
      <c r="I789" s="33"/>
    </row>
    <row r="790" spans="6:9" ht="13.2">
      <c r="F790" s="32"/>
      <c r="G790" s="32"/>
      <c r="H790" s="33"/>
      <c r="I790" s="33"/>
    </row>
    <row r="791" spans="6:9" ht="13.2">
      <c r="F791" s="32"/>
      <c r="G791" s="32"/>
      <c r="H791" s="33"/>
      <c r="I791" s="33"/>
    </row>
    <row r="792" spans="6:9" ht="13.2">
      <c r="F792" s="32"/>
      <c r="G792" s="32"/>
      <c r="H792" s="33"/>
      <c r="I792" s="33"/>
    </row>
    <row r="793" spans="6:9" ht="13.2">
      <c r="F793" s="32"/>
      <c r="G793" s="32"/>
      <c r="H793" s="33"/>
      <c r="I793" s="33"/>
    </row>
    <row r="794" spans="6:9" ht="13.2">
      <c r="F794" s="32"/>
      <c r="G794" s="32"/>
      <c r="H794" s="33"/>
      <c r="I794" s="33"/>
    </row>
    <row r="795" spans="6:9" ht="13.2">
      <c r="F795" s="32"/>
      <c r="G795" s="32"/>
      <c r="H795" s="33"/>
      <c r="I795" s="33"/>
    </row>
    <row r="796" spans="6:9" ht="13.2">
      <c r="F796" s="32"/>
      <c r="G796" s="32"/>
      <c r="H796" s="33"/>
      <c r="I796" s="33"/>
    </row>
    <row r="797" spans="6:9" ht="13.2">
      <c r="F797" s="32"/>
      <c r="G797" s="32"/>
      <c r="H797" s="33"/>
      <c r="I797" s="33"/>
    </row>
    <row r="798" spans="6:9" ht="13.2">
      <c r="F798" s="32"/>
      <c r="G798" s="32"/>
      <c r="H798" s="33"/>
      <c r="I798" s="33"/>
    </row>
    <row r="799" spans="6:9" ht="13.2">
      <c r="F799" s="32"/>
      <c r="G799" s="32"/>
      <c r="H799" s="33"/>
      <c r="I799" s="33"/>
    </row>
    <row r="800" spans="6:9" ht="13.2">
      <c r="F800" s="32"/>
      <c r="G800" s="32"/>
      <c r="H800" s="33"/>
      <c r="I800" s="33"/>
    </row>
    <row r="801" spans="6:9" ht="13.2">
      <c r="F801" s="32"/>
      <c r="G801" s="32"/>
      <c r="H801" s="33"/>
      <c r="I801" s="33"/>
    </row>
    <row r="802" spans="6:9" ht="13.2">
      <c r="F802" s="32"/>
      <c r="G802" s="32"/>
      <c r="H802" s="33"/>
      <c r="I802" s="33"/>
    </row>
    <row r="803" spans="6:9" ht="13.2">
      <c r="F803" s="32"/>
      <c r="G803" s="32"/>
      <c r="H803" s="33"/>
      <c r="I803" s="33"/>
    </row>
    <row r="804" spans="6:9" ht="13.2">
      <c r="F804" s="32"/>
      <c r="G804" s="32"/>
      <c r="H804" s="33"/>
      <c r="I804" s="33"/>
    </row>
    <row r="805" spans="6:9" ht="13.2">
      <c r="F805" s="32"/>
      <c r="G805" s="32"/>
      <c r="H805" s="33"/>
      <c r="I805" s="33"/>
    </row>
    <row r="806" spans="6:9" ht="13.2">
      <c r="F806" s="32"/>
      <c r="G806" s="32"/>
      <c r="H806" s="33"/>
      <c r="I806" s="33"/>
    </row>
    <row r="807" spans="6:9" ht="13.2">
      <c r="F807" s="32"/>
      <c r="G807" s="32"/>
      <c r="H807" s="33"/>
      <c r="I807" s="33"/>
    </row>
    <row r="808" spans="6:9" ht="13.2">
      <c r="F808" s="32"/>
      <c r="G808" s="32"/>
      <c r="H808" s="33"/>
      <c r="I808" s="33"/>
    </row>
    <row r="809" spans="6:9" ht="13.2">
      <c r="F809" s="32"/>
      <c r="G809" s="32"/>
      <c r="H809" s="33"/>
      <c r="I809" s="33"/>
    </row>
    <row r="810" spans="6:9" ht="13.2">
      <c r="F810" s="32"/>
      <c r="G810" s="32"/>
      <c r="H810" s="33"/>
      <c r="I810" s="33"/>
    </row>
    <row r="811" spans="6:9" ht="13.2">
      <c r="F811" s="32"/>
      <c r="G811" s="32"/>
      <c r="H811" s="33"/>
      <c r="I811" s="33"/>
    </row>
    <row r="812" spans="6:9" ht="13.2">
      <c r="F812" s="32"/>
      <c r="G812" s="32"/>
      <c r="H812" s="33"/>
      <c r="I812" s="33"/>
    </row>
    <row r="813" spans="6:9" ht="13.2">
      <c r="F813" s="32"/>
      <c r="G813" s="32"/>
      <c r="H813" s="33"/>
      <c r="I813" s="33"/>
    </row>
    <row r="814" spans="6:9" ht="13.2">
      <c r="F814" s="32"/>
      <c r="G814" s="32"/>
      <c r="H814" s="33"/>
      <c r="I814" s="33"/>
    </row>
    <row r="815" spans="6:9" ht="13.2">
      <c r="F815" s="32"/>
      <c r="G815" s="32"/>
      <c r="H815" s="33"/>
      <c r="I815" s="33"/>
    </row>
    <row r="816" spans="6:9" ht="13.2">
      <c r="F816" s="32"/>
      <c r="G816" s="32"/>
      <c r="H816" s="33"/>
      <c r="I816" s="33"/>
    </row>
    <row r="817" spans="6:9" ht="13.2">
      <c r="F817" s="32"/>
      <c r="G817" s="32"/>
      <c r="H817" s="33"/>
      <c r="I817" s="33"/>
    </row>
    <row r="818" spans="6:9" ht="13.2">
      <c r="F818" s="32"/>
      <c r="G818" s="32"/>
      <c r="H818" s="33"/>
      <c r="I818" s="33"/>
    </row>
    <row r="819" spans="6:9" ht="13.2">
      <c r="F819" s="32"/>
      <c r="G819" s="32"/>
      <c r="H819" s="33"/>
      <c r="I819" s="33"/>
    </row>
    <row r="820" spans="6:9" ht="13.2">
      <c r="F820" s="32"/>
      <c r="G820" s="32"/>
      <c r="H820" s="33"/>
      <c r="I820" s="33"/>
    </row>
    <row r="821" spans="6:9" ht="13.2">
      <c r="F821" s="32"/>
      <c r="G821" s="32"/>
      <c r="H821" s="33"/>
      <c r="I821" s="33"/>
    </row>
    <row r="822" spans="6:9" ht="13.2">
      <c r="F822" s="32"/>
      <c r="G822" s="32"/>
      <c r="H822" s="33"/>
      <c r="I822" s="33"/>
    </row>
    <row r="823" spans="6:9" ht="13.2">
      <c r="F823" s="32"/>
      <c r="G823" s="32"/>
      <c r="H823" s="33"/>
      <c r="I823" s="33"/>
    </row>
    <row r="824" spans="6:9" ht="13.2">
      <c r="F824" s="32"/>
      <c r="G824" s="32"/>
      <c r="H824" s="33"/>
      <c r="I824" s="33"/>
    </row>
    <row r="825" spans="6:9" ht="13.2">
      <c r="F825" s="32"/>
      <c r="G825" s="32"/>
      <c r="H825" s="33"/>
      <c r="I825" s="33"/>
    </row>
    <row r="826" spans="6:9" ht="13.2">
      <c r="F826" s="32"/>
      <c r="G826" s="32"/>
      <c r="H826" s="33"/>
      <c r="I826" s="33"/>
    </row>
    <row r="827" spans="6:9" ht="13.2">
      <c r="F827" s="32"/>
      <c r="G827" s="32"/>
      <c r="H827" s="33"/>
      <c r="I827" s="33"/>
    </row>
    <row r="828" spans="6:9" ht="13.2">
      <c r="F828" s="32"/>
      <c r="G828" s="32"/>
      <c r="H828" s="33"/>
      <c r="I828" s="33"/>
    </row>
    <row r="829" spans="6:9" ht="13.2">
      <c r="F829" s="32"/>
      <c r="G829" s="32"/>
      <c r="H829" s="33"/>
      <c r="I829" s="33"/>
    </row>
    <row r="830" spans="6:9" ht="13.2">
      <c r="F830" s="32"/>
      <c r="G830" s="32"/>
      <c r="H830" s="33"/>
      <c r="I830" s="33"/>
    </row>
    <row r="831" spans="6:9" ht="13.2">
      <c r="F831" s="32"/>
      <c r="G831" s="32"/>
      <c r="H831" s="33"/>
      <c r="I831" s="33"/>
    </row>
    <row r="832" spans="6:9" ht="13.2">
      <c r="F832" s="32"/>
      <c r="G832" s="32"/>
      <c r="H832" s="33"/>
      <c r="I832" s="33"/>
    </row>
    <row r="833" spans="6:9" ht="13.2">
      <c r="F833" s="32"/>
      <c r="G833" s="32"/>
      <c r="H833" s="33"/>
      <c r="I833" s="33"/>
    </row>
    <row r="834" spans="6:9" ht="13.2">
      <c r="F834" s="32"/>
      <c r="G834" s="32"/>
      <c r="H834" s="33"/>
      <c r="I834" s="33"/>
    </row>
    <row r="835" spans="6:9" ht="13.2">
      <c r="F835" s="32"/>
      <c r="G835" s="32"/>
      <c r="H835" s="33"/>
      <c r="I835" s="33"/>
    </row>
    <row r="836" spans="6:9" ht="13.2">
      <c r="F836" s="32"/>
      <c r="G836" s="32"/>
      <c r="H836" s="33"/>
      <c r="I836" s="33"/>
    </row>
    <row r="837" spans="6:9" ht="13.2">
      <c r="F837" s="32"/>
      <c r="G837" s="32"/>
      <c r="H837" s="33"/>
      <c r="I837" s="33"/>
    </row>
    <row r="838" spans="6:9" ht="13.2">
      <c r="F838" s="32"/>
      <c r="G838" s="32"/>
      <c r="H838" s="33"/>
      <c r="I838" s="33"/>
    </row>
    <row r="839" spans="6:9" ht="13.2">
      <c r="F839" s="32"/>
      <c r="G839" s="32"/>
      <c r="H839" s="33"/>
      <c r="I839" s="33"/>
    </row>
    <row r="840" spans="6:9" ht="13.2">
      <c r="F840" s="32"/>
      <c r="G840" s="32"/>
      <c r="H840" s="33"/>
      <c r="I840" s="33"/>
    </row>
    <row r="841" spans="6:9" ht="13.2">
      <c r="F841" s="32"/>
      <c r="G841" s="32"/>
      <c r="H841" s="33"/>
      <c r="I841" s="33"/>
    </row>
    <row r="842" spans="6:9" ht="13.2">
      <c r="F842" s="32"/>
      <c r="G842" s="32"/>
      <c r="H842" s="33"/>
      <c r="I842" s="33"/>
    </row>
    <row r="843" spans="6:9" ht="13.2">
      <c r="F843" s="32"/>
      <c r="G843" s="32"/>
      <c r="H843" s="33"/>
      <c r="I843" s="33"/>
    </row>
    <row r="844" spans="6:9" ht="13.2">
      <c r="F844" s="32"/>
      <c r="G844" s="32"/>
      <c r="H844" s="33"/>
      <c r="I844" s="33"/>
    </row>
    <row r="845" spans="6:9" ht="13.2">
      <c r="F845" s="32"/>
      <c r="G845" s="32"/>
      <c r="H845" s="33"/>
      <c r="I845" s="33"/>
    </row>
    <row r="846" spans="6:9" ht="13.2">
      <c r="F846" s="32"/>
      <c r="G846" s="32"/>
      <c r="H846" s="33"/>
      <c r="I846" s="33"/>
    </row>
    <row r="847" spans="6:9" ht="13.2">
      <c r="F847" s="32"/>
      <c r="G847" s="32"/>
      <c r="H847" s="33"/>
      <c r="I847" s="33"/>
    </row>
    <row r="848" spans="6:9" ht="13.2">
      <c r="F848" s="32"/>
      <c r="G848" s="32"/>
      <c r="H848" s="33"/>
      <c r="I848" s="33"/>
    </row>
    <row r="849" spans="6:9" ht="13.2">
      <c r="F849" s="32"/>
      <c r="G849" s="32"/>
      <c r="H849" s="33"/>
      <c r="I849" s="33"/>
    </row>
    <row r="850" spans="6:9" ht="13.2">
      <c r="F850" s="32"/>
      <c r="G850" s="32"/>
      <c r="H850" s="33"/>
      <c r="I850" s="33"/>
    </row>
    <row r="851" spans="6:9" ht="13.2">
      <c r="F851" s="32"/>
      <c r="G851" s="32"/>
      <c r="H851" s="33"/>
      <c r="I851" s="33"/>
    </row>
    <row r="852" spans="6:9" ht="13.2">
      <c r="F852" s="32"/>
      <c r="G852" s="32"/>
      <c r="H852" s="33"/>
      <c r="I852" s="33"/>
    </row>
    <row r="853" spans="6:9" ht="13.2">
      <c r="F853" s="32"/>
      <c r="G853" s="32"/>
      <c r="H853" s="33"/>
      <c r="I853" s="33"/>
    </row>
    <row r="854" spans="6:9" ht="13.2">
      <c r="F854" s="32"/>
      <c r="G854" s="32"/>
      <c r="H854" s="33"/>
      <c r="I854" s="33"/>
    </row>
    <row r="855" spans="6:9" ht="13.2">
      <c r="F855" s="32"/>
      <c r="G855" s="32"/>
      <c r="H855" s="33"/>
      <c r="I855" s="33"/>
    </row>
    <row r="856" spans="6:9" ht="13.2">
      <c r="F856" s="32"/>
      <c r="G856" s="32"/>
      <c r="H856" s="33"/>
      <c r="I856" s="33"/>
    </row>
    <row r="857" spans="6:9" ht="13.2">
      <c r="F857" s="32"/>
      <c r="G857" s="32"/>
      <c r="H857" s="33"/>
      <c r="I857" s="33"/>
    </row>
    <row r="858" spans="6:9" ht="13.2">
      <c r="F858" s="32"/>
      <c r="G858" s="32"/>
      <c r="H858" s="33"/>
      <c r="I858" s="33"/>
    </row>
    <row r="859" spans="6:9" ht="13.2">
      <c r="F859" s="32"/>
      <c r="G859" s="32"/>
      <c r="H859" s="33"/>
      <c r="I859" s="33"/>
    </row>
    <row r="860" spans="6:9" ht="13.2">
      <c r="F860" s="32"/>
      <c r="G860" s="32"/>
      <c r="H860" s="33"/>
      <c r="I860" s="33"/>
    </row>
    <row r="861" spans="6:9" ht="13.2">
      <c r="F861" s="32"/>
      <c r="G861" s="32"/>
      <c r="H861" s="33"/>
      <c r="I861" s="33"/>
    </row>
    <row r="862" spans="6:9" ht="13.2">
      <c r="F862" s="32"/>
      <c r="G862" s="32"/>
      <c r="H862" s="33"/>
      <c r="I862" s="33"/>
    </row>
    <row r="863" spans="6:9" ht="13.2">
      <c r="F863" s="32"/>
      <c r="G863" s="32"/>
      <c r="H863" s="33"/>
      <c r="I863" s="33"/>
    </row>
    <row r="864" spans="6:9" ht="13.2">
      <c r="F864" s="32"/>
      <c r="G864" s="32"/>
      <c r="H864" s="33"/>
      <c r="I864" s="33"/>
    </row>
    <row r="865" spans="6:9" ht="13.2">
      <c r="F865" s="32"/>
      <c r="G865" s="32"/>
      <c r="H865" s="33"/>
      <c r="I865" s="33"/>
    </row>
    <row r="866" spans="6:9" ht="13.2">
      <c r="F866" s="32"/>
      <c r="G866" s="32"/>
      <c r="H866" s="33"/>
      <c r="I866" s="33"/>
    </row>
    <row r="867" spans="6:9" ht="13.2">
      <c r="F867" s="32"/>
      <c r="G867" s="32"/>
      <c r="H867" s="33"/>
      <c r="I867" s="33"/>
    </row>
    <row r="868" spans="6:9" ht="13.2">
      <c r="F868" s="32"/>
      <c r="G868" s="32"/>
      <c r="H868" s="33"/>
      <c r="I868" s="33"/>
    </row>
    <row r="869" spans="6:9" ht="13.2">
      <c r="F869" s="32"/>
      <c r="G869" s="32"/>
      <c r="H869" s="33"/>
      <c r="I869" s="33"/>
    </row>
    <row r="870" spans="6:9" ht="13.2">
      <c r="F870" s="32"/>
      <c r="G870" s="32"/>
      <c r="H870" s="33"/>
      <c r="I870" s="33"/>
    </row>
    <row r="871" spans="6:9" ht="13.2">
      <c r="F871" s="32"/>
      <c r="G871" s="32"/>
      <c r="H871" s="33"/>
      <c r="I871" s="33"/>
    </row>
    <row r="872" spans="6:9" ht="13.2">
      <c r="F872" s="32"/>
      <c r="G872" s="32"/>
      <c r="H872" s="33"/>
      <c r="I872" s="33"/>
    </row>
    <row r="873" spans="6:9" ht="13.2">
      <c r="F873" s="32"/>
      <c r="G873" s="32"/>
      <c r="H873" s="33"/>
      <c r="I873" s="33"/>
    </row>
    <row r="874" spans="6:9" ht="13.2">
      <c r="F874" s="32"/>
      <c r="G874" s="32"/>
      <c r="H874" s="33"/>
      <c r="I874" s="33"/>
    </row>
    <row r="875" spans="6:9" ht="13.2">
      <c r="F875" s="32"/>
      <c r="G875" s="32"/>
      <c r="H875" s="33"/>
      <c r="I875" s="33"/>
    </row>
    <row r="876" spans="6:9" ht="13.2">
      <c r="F876" s="32"/>
      <c r="G876" s="32"/>
      <c r="H876" s="33"/>
      <c r="I876" s="33"/>
    </row>
    <row r="877" spans="6:9" ht="13.2">
      <c r="F877" s="32"/>
      <c r="G877" s="32"/>
      <c r="H877" s="33"/>
      <c r="I877" s="33"/>
    </row>
    <row r="878" spans="6:9" ht="13.2">
      <c r="F878" s="32"/>
      <c r="G878" s="32"/>
      <c r="H878" s="33"/>
      <c r="I878" s="33"/>
    </row>
    <row r="879" spans="6:9" ht="13.2">
      <c r="F879" s="32"/>
      <c r="G879" s="32"/>
      <c r="H879" s="33"/>
      <c r="I879" s="33"/>
    </row>
    <row r="880" spans="6:9" ht="13.2">
      <c r="F880" s="32"/>
      <c r="G880" s="32"/>
      <c r="H880" s="33"/>
      <c r="I880" s="33"/>
    </row>
    <row r="881" spans="6:9" ht="13.2">
      <c r="F881" s="32"/>
      <c r="G881" s="32"/>
      <c r="H881" s="33"/>
      <c r="I881" s="33"/>
    </row>
    <row r="882" spans="6:9" ht="13.2">
      <c r="F882" s="32"/>
      <c r="G882" s="32"/>
      <c r="H882" s="33"/>
      <c r="I882" s="33"/>
    </row>
    <row r="883" spans="6:9" ht="13.2">
      <c r="F883" s="32"/>
      <c r="G883" s="32"/>
      <c r="H883" s="33"/>
      <c r="I883" s="33"/>
    </row>
    <row r="884" spans="6:9" ht="13.2">
      <c r="F884" s="32"/>
      <c r="G884" s="32"/>
      <c r="H884" s="33"/>
      <c r="I884" s="33"/>
    </row>
    <row r="885" spans="6:9" ht="13.2">
      <c r="F885" s="32"/>
      <c r="G885" s="32"/>
      <c r="H885" s="33"/>
      <c r="I885" s="33"/>
    </row>
    <row r="886" spans="6:9" ht="13.2">
      <c r="F886" s="32"/>
      <c r="G886" s="32"/>
      <c r="H886" s="33"/>
      <c r="I886" s="33"/>
    </row>
    <row r="887" spans="6:9" ht="13.2">
      <c r="F887" s="32"/>
      <c r="G887" s="32"/>
      <c r="H887" s="33"/>
      <c r="I887" s="33"/>
    </row>
    <row r="888" spans="6:9" ht="13.2">
      <c r="F888" s="32"/>
      <c r="G888" s="32"/>
      <c r="H888" s="33"/>
      <c r="I888" s="33"/>
    </row>
    <row r="889" spans="6:9" ht="13.2">
      <c r="F889" s="32"/>
      <c r="G889" s="32"/>
      <c r="H889" s="33"/>
      <c r="I889" s="33"/>
    </row>
    <row r="890" spans="6:9" ht="13.2">
      <c r="F890" s="32"/>
      <c r="G890" s="32"/>
      <c r="H890" s="33"/>
      <c r="I890" s="33"/>
    </row>
    <row r="891" spans="6:9" ht="13.2">
      <c r="F891" s="32"/>
      <c r="G891" s="32"/>
      <c r="H891" s="33"/>
      <c r="I891" s="33"/>
    </row>
    <row r="892" spans="6:9" ht="13.2">
      <c r="F892" s="32"/>
      <c r="G892" s="32"/>
      <c r="H892" s="33"/>
      <c r="I892" s="33"/>
    </row>
    <row r="893" spans="6:9" ht="13.2">
      <c r="F893" s="32"/>
      <c r="G893" s="32"/>
      <c r="H893" s="33"/>
      <c r="I893" s="33"/>
    </row>
    <row r="894" spans="6:9" ht="13.2">
      <c r="F894" s="32"/>
      <c r="G894" s="32"/>
      <c r="H894" s="33"/>
      <c r="I894" s="33"/>
    </row>
    <row r="895" spans="6:9" ht="13.2">
      <c r="F895" s="32"/>
      <c r="G895" s="32"/>
      <c r="H895" s="33"/>
      <c r="I895" s="33"/>
    </row>
    <row r="896" spans="6:9" ht="13.2">
      <c r="F896" s="32"/>
      <c r="G896" s="32"/>
      <c r="H896" s="33"/>
      <c r="I896" s="33"/>
    </row>
    <row r="897" spans="6:9" ht="13.2">
      <c r="F897" s="32"/>
      <c r="G897" s="32"/>
      <c r="H897" s="33"/>
      <c r="I897" s="33"/>
    </row>
    <row r="898" spans="6:9" ht="13.2">
      <c r="F898" s="32"/>
      <c r="G898" s="32"/>
      <c r="H898" s="33"/>
      <c r="I898" s="33"/>
    </row>
    <row r="899" spans="6:9" ht="13.2">
      <c r="F899" s="32"/>
      <c r="G899" s="32"/>
      <c r="H899" s="33"/>
      <c r="I899" s="33"/>
    </row>
    <row r="900" spans="6:9" ht="13.2">
      <c r="F900" s="32"/>
      <c r="G900" s="32"/>
      <c r="H900" s="33"/>
      <c r="I900" s="33"/>
    </row>
    <row r="901" spans="6:9" ht="13.2">
      <c r="F901" s="32"/>
      <c r="G901" s="32"/>
      <c r="H901" s="33"/>
      <c r="I901" s="33"/>
    </row>
    <row r="902" spans="6:9" ht="13.2">
      <c r="F902" s="32"/>
      <c r="G902" s="32"/>
      <c r="H902" s="33"/>
      <c r="I902" s="33"/>
    </row>
    <row r="903" spans="6:9" ht="13.2">
      <c r="F903" s="32"/>
      <c r="G903" s="32"/>
      <c r="H903" s="33"/>
      <c r="I903" s="33"/>
    </row>
    <row r="904" spans="6:9" ht="13.2">
      <c r="F904" s="32"/>
      <c r="G904" s="32"/>
      <c r="H904" s="33"/>
      <c r="I904" s="33"/>
    </row>
    <row r="905" spans="6:9" ht="13.2">
      <c r="F905" s="32"/>
      <c r="G905" s="32"/>
      <c r="H905" s="33"/>
      <c r="I905" s="33"/>
    </row>
    <row r="906" spans="6:9" ht="13.2">
      <c r="F906" s="32"/>
      <c r="G906" s="32"/>
      <c r="H906" s="33"/>
      <c r="I906" s="33"/>
    </row>
    <row r="907" spans="6:9" ht="13.2">
      <c r="F907" s="32"/>
      <c r="G907" s="32"/>
      <c r="H907" s="33"/>
      <c r="I907" s="33"/>
    </row>
    <row r="908" spans="6:9" ht="13.2">
      <c r="F908" s="32"/>
      <c r="G908" s="32"/>
      <c r="H908" s="33"/>
      <c r="I908" s="33"/>
    </row>
    <row r="909" spans="6:9" ht="13.2">
      <c r="F909" s="32"/>
      <c r="G909" s="32"/>
      <c r="H909" s="33"/>
      <c r="I909" s="33"/>
    </row>
    <row r="910" spans="6:9" ht="13.2">
      <c r="F910" s="32"/>
      <c r="G910" s="32"/>
      <c r="H910" s="33"/>
      <c r="I910" s="33"/>
    </row>
    <row r="911" spans="6:9" ht="13.2">
      <c r="F911" s="32"/>
      <c r="G911" s="32"/>
      <c r="H911" s="33"/>
      <c r="I911" s="33"/>
    </row>
    <row r="912" spans="6:9" ht="13.2">
      <c r="F912" s="32"/>
      <c r="G912" s="32"/>
      <c r="H912" s="33"/>
      <c r="I912" s="33"/>
    </row>
    <row r="913" spans="6:9" ht="13.2">
      <c r="F913" s="32"/>
      <c r="G913" s="32"/>
      <c r="H913" s="33"/>
      <c r="I913" s="33"/>
    </row>
    <row r="914" spans="6:9" ht="13.2">
      <c r="F914" s="32"/>
      <c r="G914" s="32"/>
      <c r="H914" s="33"/>
      <c r="I914" s="33"/>
    </row>
    <row r="915" spans="6:9" ht="13.2">
      <c r="F915" s="32"/>
      <c r="G915" s="32"/>
      <c r="H915" s="33"/>
      <c r="I915" s="33"/>
    </row>
    <row r="916" spans="6:9" ht="13.2">
      <c r="F916" s="32"/>
      <c r="G916" s="32"/>
      <c r="H916" s="33"/>
      <c r="I916" s="33"/>
    </row>
    <row r="917" spans="6:9" ht="13.2">
      <c r="F917" s="32"/>
      <c r="G917" s="32"/>
      <c r="H917" s="33"/>
      <c r="I917" s="33"/>
    </row>
    <row r="918" spans="6:9" ht="13.2">
      <c r="F918" s="32"/>
      <c r="G918" s="32"/>
      <c r="H918" s="33"/>
      <c r="I918" s="33"/>
    </row>
    <row r="919" spans="6:9" ht="13.2">
      <c r="F919" s="32"/>
      <c r="G919" s="32"/>
      <c r="H919" s="33"/>
      <c r="I919" s="33"/>
    </row>
    <row r="920" spans="6:9" ht="13.2">
      <c r="F920" s="32"/>
      <c r="G920" s="32"/>
      <c r="H920" s="33"/>
      <c r="I920" s="33"/>
    </row>
    <row r="921" spans="6:9" ht="13.2">
      <c r="F921" s="32"/>
      <c r="G921" s="32"/>
      <c r="H921" s="33"/>
      <c r="I921" s="33"/>
    </row>
    <row r="922" spans="6:9" ht="13.2">
      <c r="F922" s="32"/>
      <c r="G922" s="32"/>
      <c r="H922" s="33"/>
      <c r="I922" s="33"/>
    </row>
    <row r="923" spans="6:9" ht="13.2">
      <c r="F923" s="32"/>
      <c r="G923" s="32"/>
      <c r="H923" s="33"/>
      <c r="I923" s="33"/>
    </row>
    <row r="924" spans="6:9" ht="13.2">
      <c r="F924" s="32"/>
      <c r="G924" s="32"/>
      <c r="H924" s="33"/>
      <c r="I924" s="33"/>
    </row>
    <row r="925" spans="6:9" ht="13.2">
      <c r="F925" s="32"/>
      <c r="G925" s="32"/>
      <c r="H925" s="33"/>
      <c r="I925" s="33"/>
    </row>
    <row r="926" spans="6:9" ht="13.2">
      <c r="F926" s="32"/>
      <c r="G926" s="32"/>
      <c r="H926" s="33"/>
      <c r="I926" s="33"/>
    </row>
    <row r="927" spans="6:9" ht="13.2">
      <c r="F927" s="32"/>
      <c r="G927" s="32"/>
      <c r="H927" s="33"/>
      <c r="I927" s="33"/>
    </row>
    <row r="928" spans="6:9" ht="13.2">
      <c r="F928" s="32"/>
      <c r="G928" s="32"/>
      <c r="H928" s="33"/>
      <c r="I928" s="33"/>
    </row>
    <row r="929" spans="6:9" ht="13.2">
      <c r="F929" s="32"/>
      <c r="G929" s="32"/>
      <c r="H929" s="33"/>
      <c r="I929" s="33"/>
    </row>
    <row r="930" spans="6:9" ht="13.2">
      <c r="F930" s="32"/>
      <c r="G930" s="32"/>
      <c r="H930" s="33"/>
      <c r="I930" s="33"/>
    </row>
    <row r="931" spans="6:9" ht="13.2">
      <c r="F931" s="32"/>
      <c r="G931" s="32"/>
      <c r="H931" s="33"/>
      <c r="I931" s="33"/>
    </row>
    <row r="932" spans="6:9" ht="13.2">
      <c r="F932" s="32"/>
      <c r="G932" s="32"/>
      <c r="H932" s="33"/>
      <c r="I932" s="33"/>
    </row>
    <row r="933" spans="6:9" ht="13.2">
      <c r="F933" s="32"/>
      <c r="G933" s="32"/>
      <c r="H933" s="33"/>
      <c r="I933" s="33"/>
    </row>
    <row r="934" spans="6:9" ht="13.2">
      <c r="F934" s="32"/>
      <c r="G934" s="32"/>
      <c r="H934" s="33"/>
      <c r="I934" s="33"/>
    </row>
    <row r="935" spans="6:9" ht="13.2">
      <c r="F935" s="32"/>
      <c r="G935" s="32"/>
      <c r="H935" s="33"/>
      <c r="I935" s="33"/>
    </row>
    <row r="936" spans="6:9" ht="13.2">
      <c r="F936" s="32"/>
      <c r="G936" s="32"/>
      <c r="H936" s="33"/>
      <c r="I936" s="33"/>
    </row>
    <row r="937" spans="6:9" ht="13.2">
      <c r="F937" s="32"/>
      <c r="G937" s="32"/>
      <c r="H937" s="33"/>
      <c r="I937" s="33"/>
    </row>
    <row r="938" spans="6:9" ht="13.2">
      <c r="F938" s="32"/>
      <c r="G938" s="32"/>
      <c r="H938" s="33"/>
      <c r="I938" s="33"/>
    </row>
    <row r="939" spans="6:9" ht="13.2">
      <c r="F939" s="32"/>
      <c r="G939" s="32"/>
      <c r="H939" s="33"/>
      <c r="I939" s="33"/>
    </row>
    <row r="940" spans="6:9" ht="13.2">
      <c r="F940" s="32"/>
      <c r="G940" s="32"/>
      <c r="H940" s="33"/>
      <c r="I940" s="33"/>
    </row>
    <row r="941" spans="6:9" ht="13.2">
      <c r="F941" s="32"/>
      <c r="G941" s="32"/>
      <c r="H941" s="33"/>
      <c r="I941" s="33"/>
    </row>
    <row r="942" spans="6:9" ht="13.2">
      <c r="F942" s="32"/>
      <c r="G942" s="32"/>
      <c r="H942" s="33"/>
      <c r="I942" s="33"/>
    </row>
    <row r="943" spans="6:9" ht="13.2">
      <c r="F943" s="32"/>
      <c r="G943" s="32"/>
      <c r="H943" s="33"/>
      <c r="I943" s="33"/>
    </row>
    <row r="944" spans="6:9" ht="13.2">
      <c r="F944" s="32"/>
      <c r="G944" s="32"/>
      <c r="H944" s="33"/>
      <c r="I944" s="33"/>
    </row>
    <row r="945" spans="6:9" ht="13.2">
      <c r="F945" s="32"/>
      <c r="G945" s="32"/>
      <c r="H945" s="33"/>
      <c r="I945" s="33"/>
    </row>
    <row r="946" spans="6:9" ht="13.2">
      <c r="F946" s="32"/>
      <c r="G946" s="32"/>
      <c r="H946" s="33"/>
      <c r="I946" s="33"/>
    </row>
    <row r="947" spans="6:9" ht="13.2">
      <c r="F947" s="32"/>
      <c r="G947" s="32"/>
      <c r="H947" s="33"/>
      <c r="I947" s="33"/>
    </row>
    <row r="948" spans="6:9" ht="13.2">
      <c r="F948" s="32"/>
      <c r="G948" s="32"/>
      <c r="H948" s="33"/>
      <c r="I948" s="33"/>
    </row>
    <row r="949" spans="6:9" ht="13.2">
      <c r="F949" s="32"/>
      <c r="G949" s="32"/>
      <c r="H949" s="33"/>
      <c r="I949" s="33"/>
    </row>
    <row r="950" spans="6:9" ht="13.2">
      <c r="F950" s="32"/>
      <c r="G950" s="32"/>
      <c r="H950" s="33"/>
      <c r="I950" s="33"/>
    </row>
    <row r="951" spans="6:9" ht="13.2">
      <c r="F951" s="32"/>
      <c r="G951" s="32"/>
      <c r="H951" s="33"/>
      <c r="I951" s="33"/>
    </row>
    <row r="952" spans="6:9" ht="13.2">
      <c r="F952" s="32"/>
      <c r="G952" s="32"/>
      <c r="H952" s="33"/>
      <c r="I952" s="33"/>
    </row>
    <row r="953" spans="6:9" ht="13.2">
      <c r="F953" s="32"/>
      <c r="G953" s="32"/>
      <c r="H953" s="33"/>
      <c r="I953" s="33"/>
    </row>
    <row r="954" spans="6:9" ht="13.2">
      <c r="F954" s="32"/>
      <c r="G954" s="32"/>
      <c r="H954" s="33"/>
      <c r="I954" s="33"/>
    </row>
    <row r="955" spans="6:9" ht="13.2">
      <c r="F955" s="32"/>
      <c r="G955" s="32"/>
      <c r="H955" s="33"/>
      <c r="I955" s="33"/>
    </row>
    <row r="956" spans="6:9" ht="13.2">
      <c r="F956" s="32"/>
      <c r="G956" s="32"/>
      <c r="H956" s="33"/>
      <c r="I956" s="33"/>
    </row>
    <row r="957" spans="6:9" ht="13.2">
      <c r="F957" s="32"/>
      <c r="G957" s="32"/>
      <c r="H957" s="33"/>
      <c r="I957" s="33"/>
    </row>
    <row r="958" spans="6:9" ht="13.2">
      <c r="F958" s="32"/>
      <c r="G958" s="32"/>
      <c r="H958" s="33"/>
      <c r="I958" s="33"/>
    </row>
    <row r="959" spans="6:9" ht="13.2">
      <c r="F959" s="32"/>
      <c r="G959" s="32"/>
      <c r="H959" s="33"/>
      <c r="I959" s="33"/>
    </row>
    <row r="960" spans="6:9" ht="13.2">
      <c r="F960" s="32"/>
      <c r="G960" s="32"/>
      <c r="H960" s="33"/>
      <c r="I960" s="33"/>
    </row>
    <row r="961" spans="6:9" ht="13.2">
      <c r="F961" s="32"/>
      <c r="G961" s="32"/>
      <c r="H961" s="33"/>
      <c r="I961" s="33"/>
    </row>
    <row r="962" spans="6:9" ht="13.2">
      <c r="F962" s="32"/>
      <c r="G962" s="32"/>
      <c r="H962" s="33"/>
      <c r="I962" s="33"/>
    </row>
    <row r="963" spans="6:9" ht="13.2">
      <c r="F963" s="32"/>
      <c r="G963" s="32"/>
      <c r="H963" s="33"/>
      <c r="I963" s="33"/>
    </row>
    <row r="964" spans="6:9" ht="13.2">
      <c r="F964" s="32"/>
      <c r="G964" s="32"/>
      <c r="H964" s="33"/>
      <c r="I964" s="33"/>
    </row>
    <row r="965" spans="6:9" ht="13.2">
      <c r="F965" s="32"/>
      <c r="G965" s="32"/>
      <c r="H965" s="33"/>
      <c r="I965" s="33"/>
    </row>
    <row r="966" spans="6:9" ht="13.2">
      <c r="F966" s="32"/>
      <c r="G966" s="32"/>
      <c r="H966" s="33"/>
      <c r="I966" s="33"/>
    </row>
    <row r="967" spans="6:9" ht="13.2">
      <c r="F967" s="32"/>
      <c r="G967" s="32"/>
      <c r="H967" s="33"/>
      <c r="I967" s="33"/>
    </row>
    <row r="968" spans="6:9" ht="13.2">
      <c r="F968" s="32"/>
      <c r="G968" s="32"/>
      <c r="H968" s="33"/>
      <c r="I968" s="33"/>
    </row>
    <row r="969" spans="6:9" ht="13.2">
      <c r="F969" s="32"/>
      <c r="G969" s="32"/>
      <c r="H969" s="33"/>
      <c r="I969" s="33"/>
    </row>
    <row r="970" spans="6:9" ht="13.2">
      <c r="F970" s="32"/>
      <c r="G970" s="32"/>
      <c r="H970" s="33"/>
      <c r="I970" s="33"/>
    </row>
    <row r="971" spans="6:9" ht="13.2">
      <c r="F971" s="32"/>
      <c r="G971" s="32"/>
      <c r="H971" s="33"/>
      <c r="I971" s="33"/>
    </row>
    <row r="972" spans="6:9" ht="13.2">
      <c r="F972" s="32"/>
      <c r="G972" s="32"/>
      <c r="H972" s="33"/>
      <c r="I972" s="33"/>
    </row>
    <row r="973" spans="6:9" ht="13.2">
      <c r="F973" s="32"/>
      <c r="G973" s="32"/>
      <c r="H973" s="33"/>
      <c r="I973" s="33"/>
    </row>
    <row r="974" spans="6:9" ht="13.2">
      <c r="F974" s="32"/>
      <c r="G974" s="32"/>
      <c r="H974" s="33"/>
      <c r="I974" s="33"/>
    </row>
    <row r="975" spans="6:9" ht="13.2">
      <c r="F975" s="32"/>
      <c r="G975" s="32"/>
      <c r="H975" s="33"/>
      <c r="I975" s="33"/>
    </row>
    <row r="976" spans="6:9" ht="13.2">
      <c r="F976" s="32"/>
      <c r="G976" s="32"/>
      <c r="H976" s="33"/>
      <c r="I976" s="33"/>
    </row>
    <row r="977" spans="6:9" ht="13.2">
      <c r="F977" s="32"/>
      <c r="G977" s="32"/>
      <c r="H977" s="33"/>
      <c r="I977" s="33"/>
    </row>
    <row r="978" spans="6:9" ht="13.2">
      <c r="F978" s="32"/>
      <c r="G978" s="32"/>
      <c r="H978" s="33"/>
      <c r="I978" s="33"/>
    </row>
    <row r="979" spans="6:9" ht="13.2">
      <c r="F979" s="32"/>
      <c r="G979" s="32"/>
      <c r="H979" s="33"/>
      <c r="I979" s="33"/>
    </row>
    <row r="980" spans="6:9" ht="13.2">
      <c r="F980" s="32"/>
      <c r="G980" s="32"/>
      <c r="H980" s="33"/>
      <c r="I980" s="33"/>
    </row>
    <row r="981" spans="6:9" ht="13.2">
      <c r="F981" s="32"/>
      <c r="G981" s="32"/>
      <c r="H981" s="33"/>
      <c r="I981" s="33"/>
    </row>
    <row r="982" spans="6:9" ht="13.2">
      <c r="F982" s="32"/>
      <c r="G982" s="32"/>
      <c r="H982" s="33"/>
      <c r="I982" s="33"/>
    </row>
    <row r="983" spans="6:9" ht="13.2">
      <c r="F983" s="32"/>
      <c r="G983" s="32"/>
      <c r="H983" s="33"/>
      <c r="I983" s="33"/>
    </row>
    <row r="984" spans="6:9" ht="13.2">
      <c r="F984" s="32"/>
      <c r="G984" s="32"/>
      <c r="H984" s="33"/>
      <c r="I984" s="33"/>
    </row>
    <row r="985" spans="6:9" ht="13.2">
      <c r="F985" s="32"/>
      <c r="G985" s="32"/>
      <c r="H985" s="33"/>
      <c r="I985" s="33"/>
    </row>
    <row r="986" spans="6:9" ht="13.2">
      <c r="F986" s="32"/>
      <c r="G986" s="32"/>
      <c r="H986" s="33"/>
      <c r="I986" s="33"/>
    </row>
    <row r="987" spans="6:9" ht="13.2">
      <c r="F987" s="32"/>
      <c r="G987" s="32"/>
      <c r="H987" s="33"/>
      <c r="I987" s="33"/>
    </row>
    <row r="988" spans="6:9" ht="13.2">
      <c r="F988" s="32"/>
      <c r="G988" s="32"/>
      <c r="H988" s="33"/>
      <c r="I988" s="33"/>
    </row>
    <row r="989" spans="6:9" ht="13.2">
      <c r="F989" s="32"/>
      <c r="G989" s="32"/>
      <c r="H989" s="33"/>
      <c r="I989" s="33"/>
    </row>
    <row r="990" spans="6:9" ht="13.2">
      <c r="F990" s="32"/>
      <c r="G990" s="32"/>
      <c r="H990" s="33"/>
      <c r="I990" s="33"/>
    </row>
    <row r="991" spans="6:9" ht="13.2">
      <c r="F991" s="32"/>
      <c r="G991" s="32"/>
      <c r="H991" s="33"/>
      <c r="I991" s="33"/>
    </row>
    <row r="992" spans="6:9" ht="13.2">
      <c r="F992" s="32"/>
      <c r="G992" s="32"/>
      <c r="H992" s="33"/>
      <c r="I992" s="33"/>
    </row>
    <row r="993" spans="6:9" ht="13.2">
      <c r="F993" s="32"/>
      <c r="G993" s="32"/>
      <c r="H993" s="33"/>
      <c r="I993" s="33"/>
    </row>
    <row r="994" spans="6:9" ht="13.2">
      <c r="F994" s="32"/>
      <c r="G994" s="32"/>
      <c r="H994" s="33"/>
      <c r="I994" s="33"/>
    </row>
    <row r="995" spans="6:9" ht="13.2">
      <c r="F995" s="32"/>
      <c r="G995" s="32"/>
      <c r="H995" s="33"/>
      <c r="I995" s="33"/>
    </row>
    <row r="996" spans="6:9" ht="13.2">
      <c r="F996" s="32"/>
      <c r="G996" s="32"/>
      <c r="H996" s="33"/>
      <c r="I996" s="33"/>
    </row>
    <row r="997" spans="6:9" ht="13.2">
      <c r="F997" s="32"/>
      <c r="G997" s="32"/>
      <c r="H997" s="33"/>
      <c r="I997" s="33"/>
    </row>
    <row r="998" spans="6:9" ht="13.2">
      <c r="F998" s="32"/>
      <c r="G998" s="32"/>
      <c r="H998" s="33"/>
      <c r="I998" s="33"/>
    </row>
    <row r="999" spans="6:9" ht="13.2">
      <c r="F999" s="32"/>
      <c r="G999" s="32"/>
      <c r="H999" s="33"/>
      <c r="I999" s="33"/>
    </row>
    <row r="1000" spans="6:9" ht="13.2">
      <c r="F1000" s="32"/>
      <c r="G1000" s="32"/>
      <c r="H1000" s="33"/>
      <c r="I1000" s="33"/>
    </row>
    <row r="1001" spans="6:9" ht="13.2">
      <c r="F1001" s="32"/>
      <c r="G1001" s="32"/>
      <c r="H1001" s="33"/>
      <c r="I1001" s="33"/>
    </row>
    <row r="1002" spans="6:9" ht="13.2">
      <c r="F1002" s="32"/>
      <c r="G1002" s="32"/>
      <c r="H1002" s="33"/>
      <c r="I1002" s="33"/>
    </row>
    <row r="1003" spans="6:9" ht="13.2">
      <c r="F1003" s="32"/>
      <c r="G1003" s="32"/>
      <c r="H1003" s="33"/>
      <c r="I1003" s="33"/>
    </row>
    <row r="1004" spans="6:9" ht="13.2">
      <c r="F1004" s="32"/>
      <c r="G1004" s="32"/>
      <c r="H1004" s="33"/>
      <c r="I1004" s="33"/>
    </row>
    <row r="1005" spans="6:9" ht="13.2">
      <c r="F1005" s="32"/>
      <c r="G1005" s="32"/>
      <c r="H1005" s="33"/>
      <c r="I1005" s="33"/>
    </row>
    <row r="1006" spans="6:9" ht="13.2">
      <c r="F1006" s="32"/>
      <c r="G1006" s="32"/>
      <c r="H1006" s="33"/>
      <c r="I1006" s="33"/>
    </row>
    <row r="1007" spans="6:9" ht="13.2">
      <c r="F1007" s="32"/>
      <c r="G1007" s="32"/>
      <c r="H1007" s="33"/>
      <c r="I1007" s="33"/>
    </row>
    <row r="1008" spans="6:9" ht="13.2">
      <c r="F1008" s="32"/>
      <c r="G1008" s="32"/>
      <c r="H1008" s="33"/>
      <c r="I1008" s="33"/>
    </row>
    <row r="1009" spans="6:9" ht="13.2">
      <c r="F1009" s="32"/>
      <c r="G1009" s="32"/>
      <c r="H1009" s="33"/>
      <c r="I1009" s="33"/>
    </row>
    <row r="1010" spans="6:9" ht="13.2">
      <c r="F1010" s="32"/>
      <c r="G1010" s="32"/>
      <c r="H1010" s="33"/>
      <c r="I1010" s="33"/>
    </row>
    <row r="1011" spans="6:9" ht="13.2">
      <c r="F1011" s="32"/>
      <c r="G1011" s="32"/>
      <c r="H1011" s="33"/>
      <c r="I1011" s="33"/>
    </row>
    <row r="1012" spans="6:9" ht="13.2">
      <c r="F1012" s="32"/>
      <c r="G1012" s="32"/>
      <c r="H1012" s="33"/>
      <c r="I1012" s="33"/>
    </row>
    <row r="1013" spans="6:9" ht="13.2">
      <c r="F1013" s="32"/>
      <c r="G1013" s="32"/>
      <c r="H1013" s="33"/>
      <c r="I1013" s="33"/>
    </row>
    <row r="1014" spans="6:9" ht="13.2">
      <c r="F1014" s="32"/>
      <c r="G1014" s="32"/>
      <c r="H1014" s="33"/>
      <c r="I1014" s="33"/>
    </row>
    <row r="1015" spans="6:9" ht="13.2">
      <c r="F1015" s="32"/>
      <c r="G1015" s="32"/>
      <c r="H1015" s="33"/>
      <c r="I1015" s="33"/>
    </row>
    <row r="1016" spans="6:9" ht="13.2">
      <c r="F1016" s="32"/>
      <c r="G1016" s="32"/>
      <c r="H1016" s="33"/>
      <c r="I1016" s="33"/>
    </row>
    <row r="1017" spans="6:9" ht="13.2">
      <c r="F1017" s="32"/>
      <c r="G1017" s="32"/>
      <c r="H1017" s="33"/>
      <c r="I1017" s="33"/>
    </row>
    <row r="1018" spans="6:9" ht="13.2">
      <c r="F1018" s="32"/>
      <c r="G1018" s="32"/>
      <c r="H1018" s="33"/>
      <c r="I1018" s="33"/>
    </row>
    <row r="1019" spans="6:9" ht="13.2">
      <c r="F1019" s="32"/>
      <c r="G1019" s="32"/>
      <c r="H1019" s="33"/>
      <c r="I1019" s="33"/>
    </row>
    <row r="1020" spans="6:9" ht="13.2">
      <c r="F1020" s="32"/>
      <c r="G1020" s="32"/>
      <c r="H1020" s="33"/>
      <c r="I1020" s="33"/>
    </row>
    <row r="1021" spans="6:9" ht="13.2">
      <c r="F1021" s="32"/>
      <c r="G1021" s="32"/>
      <c r="H1021" s="33"/>
      <c r="I1021" s="33"/>
    </row>
    <row r="1022" spans="6:9" ht="13.2">
      <c r="F1022" s="32"/>
      <c r="G1022" s="32"/>
      <c r="H1022" s="33"/>
      <c r="I1022" s="33"/>
    </row>
    <row r="1023" spans="6:9" ht="13.2">
      <c r="F1023" s="32"/>
      <c r="G1023" s="32"/>
      <c r="H1023" s="33"/>
      <c r="I1023" s="33"/>
    </row>
    <row r="1024" spans="6:9" ht="13.2">
      <c r="F1024" s="32"/>
      <c r="G1024" s="32"/>
      <c r="H1024" s="33"/>
      <c r="I1024" s="33"/>
    </row>
    <row r="1025" spans="6:9" ht="13.2">
      <c r="F1025" s="32"/>
      <c r="G1025" s="32"/>
      <c r="H1025" s="33"/>
      <c r="I1025" s="33"/>
    </row>
    <row r="1026" spans="6:9" ht="13.2">
      <c r="F1026" s="32"/>
      <c r="G1026" s="32"/>
      <c r="H1026" s="33"/>
      <c r="I1026" s="33"/>
    </row>
    <row r="1027" spans="6:9" ht="13.2">
      <c r="F1027" s="32"/>
      <c r="G1027" s="32"/>
      <c r="H1027" s="33"/>
      <c r="I1027" s="33"/>
    </row>
    <row r="1028" spans="6:9" ht="13.2">
      <c r="F1028" s="32"/>
      <c r="G1028" s="32"/>
      <c r="H1028" s="33"/>
      <c r="I1028" s="33"/>
    </row>
    <row r="1029" spans="6:9" ht="13.2">
      <c r="F1029" s="32"/>
      <c r="G1029" s="32"/>
      <c r="H1029" s="33"/>
      <c r="I1029" s="33"/>
    </row>
    <row r="1030" spans="6:9" ht="13.2">
      <c r="F1030" s="32"/>
      <c r="G1030" s="32"/>
      <c r="H1030" s="33"/>
      <c r="I1030" s="33"/>
    </row>
    <row r="1031" spans="6:9" ht="13.2">
      <c r="F1031" s="32"/>
      <c r="G1031" s="32"/>
      <c r="H1031" s="33"/>
      <c r="I1031" s="33"/>
    </row>
    <row r="1032" spans="6:9" ht="13.2">
      <c r="F1032" s="32"/>
      <c r="G1032" s="32"/>
      <c r="H1032" s="33"/>
      <c r="I1032" s="33"/>
    </row>
    <row r="1033" spans="6:9" ht="13.2">
      <c r="F1033" s="32"/>
      <c r="G1033" s="32"/>
      <c r="H1033" s="33"/>
      <c r="I1033" s="3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10">
    <outlinePr summaryBelow="0" summaryRight="0"/>
  </sheetPr>
  <dimension ref="A1:G53"/>
  <sheetViews>
    <sheetView workbookViewId="0">
      <selection activeCell="J8" sqref="J8"/>
    </sheetView>
  </sheetViews>
  <sheetFormatPr defaultColWidth="12.6640625" defaultRowHeight="15.75" customHeight="1"/>
  <sheetData>
    <row r="1" spans="1:7">
      <c r="A1" s="1" t="s">
        <v>0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</v>
      </c>
      <c r="G1" s="1" t="s">
        <v>109</v>
      </c>
    </row>
    <row r="2" spans="1:7">
      <c r="A2" s="7">
        <v>1971</v>
      </c>
      <c r="B2" s="11">
        <v>5.5300000000000002E-2</v>
      </c>
      <c r="C2" s="11">
        <v>0.13589999999999999</v>
      </c>
      <c r="D2" s="11">
        <v>1.18E-2</v>
      </c>
      <c r="E2" s="7">
        <v>65.905000000000001</v>
      </c>
      <c r="F2" s="7">
        <v>30.6</v>
      </c>
      <c r="G2" s="7">
        <v>46.4</v>
      </c>
    </row>
    <row r="3" spans="1:7">
      <c r="A3" s="7">
        <v>1972</v>
      </c>
      <c r="B3" s="11">
        <v>5.4800000000000001E-2</v>
      </c>
      <c r="C3" s="11">
        <v>0.12509999999999999</v>
      </c>
      <c r="D3" s="11">
        <v>1.8800000000000001E-2</v>
      </c>
      <c r="E3" s="47">
        <v>74.152699999999996</v>
      </c>
      <c r="F3" s="7">
        <v>32.299999999999997</v>
      </c>
      <c r="G3" s="7">
        <v>43.6</v>
      </c>
    </row>
    <row r="4" spans="1:7">
      <c r="A4" s="7">
        <v>1973</v>
      </c>
      <c r="B4" s="11">
        <v>5.8400000000000001E-2</v>
      </c>
      <c r="C4" s="11">
        <v>0.14360000000000001</v>
      </c>
      <c r="D4" s="11">
        <v>3.0700000000000002E-2</v>
      </c>
      <c r="E4" s="47">
        <v>84.797899999999998</v>
      </c>
      <c r="F4" s="7">
        <v>34.4</v>
      </c>
      <c r="G4" s="7">
        <v>40.6</v>
      </c>
    </row>
    <row r="5" spans="1:7">
      <c r="A5" s="7">
        <v>1974</v>
      </c>
      <c r="B5" s="11">
        <v>6.7400000000000002E-2</v>
      </c>
      <c r="C5" s="11">
        <v>0.1353</v>
      </c>
      <c r="D5" s="11">
        <v>2.4799999999999999E-2</v>
      </c>
      <c r="E5" s="47">
        <v>96.268199999999993</v>
      </c>
      <c r="F5" s="7">
        <v>37.200000000000003</v>
      </c>
      <c r="G5" s="7">
        <v>38.6</v>
      </c>
    </row>
    <row r="6" spans="1:7">
      <c r="A6" s="7">
        <v>1975</v>
      </c>
      <c r="B6" s="11">
        <v>7.1900000000000006E-2</v>
      </c>
      <c r="C6" s="11">
        <v>0.1062</v>
      </c>
      <c r="D6" s="11">
        <v>5.9999999999999995E-4</v>
      </c>
      <c r="E6" s="47">
        <v>106.4927</v>
      </c>
      <c r="F6" s="7">
        <v>42</v>
      </c>
      <c r="G6" s="7">
        <v>39.4</v>
      </c>
    </row>
    <row r="7" spans="1:7">
      <c r="A7" s="7">
        <v>1976</v>
      </c>
      <c r="B7" s="11">
        <v>7.0800000000000002E-2</v>
      </c>
      <c r="C7" s="11">
        <v>0.13900000000000001</v>
      </c>
      <c r="D7" s="11">
        <v>8.5000000000000006E-3</v>
      </c>
      <c r="E7" s="47">
        <v>121.29049999999999</v>
      </c>
      <c r="F7" s="7">
        <v>47.5</v>
      </c>
      <c r="G7" s="7">
        <v>39.200000000000003</v>
      </c>
    </row>
    <row r="8" spans="1:7">
      <c r="A8" s="7">
        <v>1977</v>
      </c>
      <c r="B8" s="11">
        <v>7.2700000000000001E-2</v>
      </c>
      <c r="C8" s="11">
        <v>8.1299999999999997E-2</v>
      </c>
      <c r="D8" s="11">
        <v>2.1299999999999999E-2</v>
      </c>
      <c r="E8" s="47">
        <v>131.14850000000001</v>
      </c>
      <c r="F8" s="7">
        <v>51.1</v>
      </c>
      <c r="G8" s="7">
        <v>39</v>
      </c>
    </row>
    <row r="9" spans="1:7">
      <c r="A9" s="7">
        <v>1978</v>
      </c>
      <c r="B9" s="11">
        <v>7.6700000000000004E-2</v>
      </c>
      <c r="C9" s="11">
        <v>8.0399999999999999E-2</v>
      </c>
      <c r="D9" s="11">
        <v>9.7999999999999997E-3</v>
      </c>
      <c r="E9" s="47">
        <v>141.69649999999999</v>
      </c>
      <c r="F9" s="7">
        <v>57</v>
      </c>
      <c r="G9" s="7">
        <v>40.200000000000003</v>
      </c>
    </row>
    <row r="10" spans="1:7">
      <c r="A10" s="7">
        <v>1979</v>
      </c>
      <c r="B10" s="11">
        <v>7.7799999999999994E-2</v>
      </c>
      <c r="C10" s="11">
        <v>7.0999999999999994E-2</v>
      </c>
      <c r="D10" s="11">
        <v>7.7000000000000002E-3</v>
      </c>
      <c r="E10" s="47">
        <v>151.7611</v>
      </c>
      <c r="F10" s="7">
        <v>63.4</v>
      </c>
      <c r="G10" s="7">
        <v>41.8</v>
      </c>
    </row>
    <row r="11" spans="1:7">
      <c r="A11" s="7">
        <v>1980</v>
      </c>
      <c r="B11" s="11">
        <v>8.3500000000000005E-2</v>
      </c>
      <c r="C11" s="11">
        <v>7.8799999999999995E-2</v>
      </c>
      <c r="D11" s="11">
        <v>-2.8E-3</v>
      </c>
      <c r="E11" s="47">
        <v>163.72669999999999</v>
      </c>
      <c r="F11" s="7">
        <v>72.2</v>
      </c>
      <c r="G11" s="7">
        <v>44.1</v>
      </c>
    </row>
    <row r="12" spans="1:7">
      <c r="A12" s="7">
        <v>1981</v>
      </c>
      <c r="B12" s="11">
        <v>9.3600000000000003E-2</v>
      </c>
      <c r="C12" s="11">
        <v>5.5399999999999998E-2</v>
      </c>
      <c r="D12" s="11">
        <v>-5.4000000000000003E-3</v>
      </c>
      <c r="E12" s="47">
        <v>172.7996</v>
      </c>
      <c r="F12" s="7">
        <v>81.900000000000006</v>
      </c>
      <c r="G12" s="7">
        <v>47.4</v>
      </c>
    </row>
    <row r="13" spans="1:7">
      <c r="A13" s="7">
        <v>1982</v>
      </c>
      <c r="B13" s="11">
        <v>0.1013</v>
      </c>
      <c r="C13" s="11">
        <v>3.3399999999999999E-2</v>
      </c>
      <c r="D13" s="11">
        <v>-1.09E-2</v>
      </c>
      <c r="E13" s="47">
        <v>178.5692</v>
      </c>
      <c r="F13" s="7">
        <v>94.6</v>
      </c>
      <c r="G13" s="7">
        <v>53</v>
      </c>
    </row>
    <row r="14" spans="1:7">
      <c r="A14" s="7">
        <v>1983</v>
      </c>
      <c r="B14" s="11">
        <v>9.9299999999999999E-2</v>
      </c>
      <c r="C14" s="11">
        <v>3.4299999999999997E-2</v>
      </c>
      <c r="D14" s="11">
        <v>2.0000000000000001E-4</v>
      </c>
      <c r="E14" s="47">
        <v>184.69059999999999</v>
      </c>
      <c r="F14" s="7">
        <v>109.2</v>
      </c>
      <c r="G14" s="7">
        <v>59.1</v>
      </c>
    </row>
    <row r="15" spans="1:7">
      <c r="A15" s="7">
        <v>1984</v>
      </c>
      <c r="B15" s="11">
        <v>9.4600000000000004E-2</v>
      </c>
      <c r="C15" s="11">
        <v>5.4699999999999999E-2</v>
      </c>
      <c r="D15" s="11">
        <v>6.0000000000000001E-3</v>
      </c>
      <c r="E15" s="47">
        <v>194.79679999999999</v>
      </c>
      <c r="F15" s="7">
        <v>121.9</v>
      </c>
      <c r="G15" s="7">
        <v>62.6</v>
      </c>
    </row>
    <row r="16" spans="1:7">
      <c r="A16" s="7">
        <v>1985</v>
      </c>
      <c r="B16" s="11">
        <v>9.3899999999999997E-2</v>
      </c>
      <c r="C16" s="11">
        <v>3.4200000000000001E-2</v>
      </c>
      <c r="D16" s="11">
        <v>2.4400000000000002E-2</v>
      </c>
      <c r="E16" s="47">
        <v>201.45670000000001</v>
      </c>
      <c r="F16" s="7">
        <v>137</v>
      </c>
      <c r="G16" s="7">
        <v>68</v>
      </c>
    </row>
    <row r="17" spans="1:7">
      <c r="A17" s="7">
        <v>1986</v>
      </c>
      <c r="B17" s="11">
        <v>8.6300000000000002E-2</v>
      </c>
      <c r="C17" s="11">
        <v>3.4200000000000001E-2</v>
      </c>
      <c r="D17" s="11">
        <v>1.4500000000000001E-2</v>
      </c>
      <c r="E17" s="47">
        <v>208.34010000000001</v>
      </c>
      <c r="F17" s="7">
        <v>144.80000000000001</v>
      </c>
      <c r="G17" s="7">
        <v>69.5</v>
      </c>
    </row>
    <row r="18" spans="1:7">
      <c r="A18" s="7">
        <v>1987</v>
      </c>
      <c r="B18" s="11">
        <v>8.2900000000000001E-2</v>
      </c>
      <c r="C18" s="11">
        <v>1.29E-2</v>
      </c>
      <c r="D18" s="11">
        <v>6.4999999999999997E-3</v>
      </c>
      <c r="E18" s="47">
        <v>211.01939999999999</v>
      </c>
      <c r="F18" s="7">
        <v>150.9</v>
      </c>
      <c r="G18" s="7">
        <v>71.5</v>
      </c>
    </row>
    <row r="19" spans="1:7">
      <c r="A19" s="7">
        <v>1988</v>
      </c>
      <c r="B19" s="11">
        <v>7.9200000000000007E-2</v>
      </c>
      <c r="C19" s="11">
        <v>4.6399999999999997E-2</v>
      </c>
      <c r="D19" s="11">
        <v>1.67E-2</v>
      </c>
      <c r="E19" s="47">
        <v>220.8168</v>
      </c>
      <c r="F19" s="7">
        <v>163</v>
      </c>
      <c r="G19" s="7">
        <v>73.8</v>
      </c>
    </row>
    <row r="20" spans="1:7">
      <c r="A20" s="7">
        <v>1989</v>
      </c>
      <c r="B20" s="11">
        <v>7.2999999999999995E-2</v>
      </c>
      <c r="C20" s="11">
        <v>5.8599999999999999E-2</v>
      </c>
      <c r="D20" s="11">
        <v>6.6E-3</v>
      </c>
      <c r="E20" s="47">
        <v>233.74610000000001</v>
      </c>
      <c r="F20" s="7">
        <v>172.5</v>
      </c>
      <c r="G20" s="7">
        <v>73.8</v>
      </c>
    </row>
    <row r="21" spans="1:7">
      <c r="A21" s="7">
        <v>1990</v>
      </c>
      <c r="B21" s="11">
        <v>7.3800000000000004E-2</v>
      </c>
      <c r="C21" s="11">
        <v>5.7700000000000001E-2</v>
      </c>
      <c r="D21" s="11">
        <v>4.1999999999999997E-3</v>
      </c>
      <c r="E21" s="47">
        <v>247.2337</v>
      </c>
      <c r="F21" s="7">
        <v>183</v>
      </c>
      <c r="G21" s="7">
        <v>74</v>
      </c>
    </row>
    <row r="22" spans="1:7">
      <c r="A22" s="7">
        <v>1991</v>
      </c>
      <c r="B22" s="11">
        <v>7.6300000000000007E-2</v>
      </c>
      <c r="C22" s="11">
        <v>5.7799999999999997E-2</v>
      </c>
      <c r="D22" s="11">
        <v>3.1199999999999999E-2</v>
      </c>
      <c r="E22" s="47">
        <v>261.52379999999999</v>
      </c>
      <c r="F22" s="7">
        <v>192.5</v>
      </c>
      <c r="G22" s="7">
        <v>73.599999999999994</v>
      </c>
    </row>
    <row r="23" spans="1:7">
      <c r="A23" s="7">
        <v>1992</v>
      </c>
      <c r="B23" s="11">
        <v>7.9399999999999998E-2</v>
      </c>
      <c r="C23" s="11">
        <v>4.5499999999999999E-2</v>
      </c>
      <c r="D23" s="11">
        <v>1.9300000000000001E-2</v>
      </c>
      <c r="E23" s="47">
        <v>273.42149999999998</v>
      </c>
      <c r="F23" s="7">
        <v>202.9</v>
      </c>
      <c r="G23" s="7">
        <v>74.2</v>
      </c>
    </row>
    <row r="24" spans="1:7">
      <c r="A24" s="7">
        <v>1993</v>
      </c>
      <c r="B24" s="11">
        <v>7.6600000000000001E-2</v>
      </c>
      <c r="C24" s="11">
        <v>3.0200000000000001E-2</v>
      </c>
      <c r="D24" s="11">
        <v>3.0599999999999999E-2</v>
      </c>
      <c r="E24" s="47">
        <v>281.6832</v>
      </c>
      <c r="F24" s="7">
        <v>211.3</v>
      </c>
      <c r="G24" s="7">
        <v>75</v>
      </c>
    </row>
    <row r="25" spans="1:7">
      <c r="A25" s="7">
        <v>1994</v>
      </c>
      <c r="B25" s="11">
        <v>6.8000000000000005E-2</v>
      </c>
      <c r="C25" s="11">
        <v>5.16E-2</v>
      </c>
      <c r="D25" s="11">
        <v>1.7999999999999999E-2</v>
      </c>
      <c r="E25" s="47">
        <v>296.22649999999999</v>
      </c>
      <c r="F25" s="7">
        <v>213.9</v>
      </c>
      <c r="G25" s="7">
        <v>72.2</v>
      </c>
    </row>
    <row r="26" spans="1:7">
      <c r="A26" s="7">
        <v>1995</v>
      </c>
      <c r="B26" s="11">
        <v>7.1999999999999995E-2</v>
      </c>
      <c r="C26" s="11">
        <v>5.3699999999999998E-2</v>
      </c>
      <c r="D26" s="11">
        <v>-3.4000000000000002E-2</v>
      </c>
      <c r="E26" s="47">
        <v>312.12860000000001</v>
      </c>
      <c r="F26" s="7">
        <v>229.4</v>
      </c>
      <c r="G26" s="7">
        <v>73.5</v>
      </c>
    </row>
    <row r="27" spans="1:7">
      <c r="A27" s="7">
        <v>1996</v>
      </c>
      <c r="B27" s="11">
        <v>6.4799999999999996E-2</v>
      </c>
      <c r="C27" s="11">
        <v>4.5400000000000003E-2</v>
      </c>
      <c r="D27" s="11">
        <v>2.9000000000000001E-2</v>
      </c>
      <c r="E27" s="47">
        <v>326.28359999999998</v>
      </c>
      <c r="F27" s="7">
        <v>233</v>
      </c>
      <c r="G27" s="7">
        <v>71.400000000000006</v>
      </c>
    </row>
    <row r="28" spans="1:7">
      <c r="A28" s="7">
        <v>1997</v>
      </c>
      <c r="B28" s="11">
        <v>6.2100000000000002E-2</v>
      </c>
      <c r="C28" s="11">
        <v>7.0099999999999996E-2</v>
      </c>
      <c r="D28" s="11">
        <v>2.8299999999999999E-2</v>
      </c>
      <c r="E28" s="47">
        <v>349.16199999999998</v>
      </c>
      <c r="F28" s="7">
        <v>229.7</v>
      </c>
      <c r="G28" s="7">
        <v>65.8</v>
      </c>
    </row>
    <row r="29" spans="1:7">
      <c r="A29" s="7">
        <v>1998</v>
      </c>
      <c r="B29" s="11">
        <v>6.3500000000000001E-2</v>
      </c>
      <c r="C29" s="11">
        <v>6.9000000000000006E-2</v>
      </c>
      <c r="D29" s="11">
        <v>2.81E-2</v>
      </c>
      <c r="E29" s="47">
        <v>373.24959999999999</v>
      </c>
      <c r="F29" s="7">
        <v>234.4</v>
      </c>
      <c r="G29" s="7">
        <v>62.8</v>
      </c>
    </row>
    <row r="30" spans="1:7">
      <c r="A30" s="7">
        <v>1999</v>
      </c>
      <c r="B30" s="11">
        <v>6.1899999999999997E-2</v>
      </c>
      <c r="C30" s="11">
        <v>6.3700000000000007E-2</v>
      </c>
      <c r="D30" s="11">
        <v>4.1200000000000001E-2</v>
      </c>
      <c r="E30" s="47">
        <v>397.00689999999997</v>
      </c>
      <c r="F30" s="7">
        <v>233</v>
      </c>
      <c r="G30" s="7">
        <v>58.7</v>
      </c>
    </row>
    <row r="31" spans="1:7">
      <c r="A31" s="7">
        <v>2000</v>
      </c>
      <c r="B31" s="11">
        <v>5.6099999999999997E-2</v>
      </c>
      <c r="C31" s="11">
        <v>7.7399999999999997E-2</v>
      </c>
      <c r="D31" s="11">
        <v>4.48E-2</v>
      </c>
      <c r="E31" s="47">
        <v>427.74639999999999</v>
      </c>
      <c r="F31" s="7">
        <v>223.3</v>
      </c>
      <c r="G31" s="7">
        <v>52.2</v>
      </c>
    </row>
    <row r="32" spans="1:7">
      <c r="A32" s="7">
        <v>2001</v>
      </c>
      <c r="B32" s="11">
        <v>5.5199999999999999E-2</v>
      </c>
      <c r="C32" s="11">
        <v>6.6000000000000003E-2</v>
      </c>
      <c r="D32" s="11">
        <v>2.4400000000000002E-2</v>
      </c>
      <c r="E32" s="47">
        <v>455.9631</v>
      </c>
      <c r="F32" s="7">
        <v>225.7</v>
      </c>
      <c r="G32" s="7">
        <v>49.5</v>
      </c>
    </row>
    <row r="33" spans="1:7">
      <c r="A33" s="7">
        <v>2002</v>
      </c>
      <c r="B33" s="11">
        <v>5.1900000000000002E-2</v>
      </c>
      <c r="C33" s="11">
        <v>4.0099999999999997E-2</v>
      </c>
      <c r="D33" s="11">
        <v>5.4999999999999997E-3</v>
      </c>
      <c r="E33" s="47">
        <v>474.23630000000003</v>
      </c>
      <c r="F33" s="7">
        <v>231.9</v>
      </c>
      <c r="G33" s="7">
        <v>48.9</v>
      </c>
    </row>
    <row r="34" spans="1:7">
      <c r="A34" s="7">
        <v>2003</v>
      </c>
      <c r="B34" s="11">
        <v>4.8500000000000001E-2</v>
      </c>
      <c r="C34" s="11">
        <v>2.4E-2</v>
      </c>
      <c r="D34" s="11">
        <v>-7.1999999999999998E-3</v>
      </c>
      <c r="E34" s="47">
        <v>485.6388</v>
      </c>
      <c r="F34" s="7">
        <v>242.8</v>
      </c>
      <c r="G34" s="7">
        <v>50</v>
      </c>
    </row>
    <row r="35" spans="1:7">
      <c r="A35" s="7">
        <v>2004</v>
      </c>
      <c r="B35" s="11">
        <v>4.6399999999999997E-2</v>
      </c>
      <c r="C35" s="11">
        <v>3.2199999999999999E-2</v>
      </c>
      <c r="D35" s="11">
        <v>5.4000000000000003E-3</v>
      </c>
      <c r="E35" s="47">
        <v>501.29579999999999</v>
      </c>
      <c r="F35" s="7">
        <v>252.2</v>
      </c>
      <c r="G35" s="7">
        <v>50.3</v>
      </c>
    </row>
    <row r="36" spans="1:7">
      <c r="A36" s="7">
        <v>2005</v>
      </c>
      <c r="B36" s="11">
        <v>4.3099999999999999E-2</v>
      </c>
      <c r="C36" s="11">
        <v>4.1399999999999999E-2</v>
      </c>
      <c r="D36" s="11">
        <v>1.7000000000000001E-2</v>
      </c>
      <c r="E36" s="47">
        <v>522.05949999999996</v>
      </c>
      <c r="F36" s="7">
        <v>260</v>
      </c>
      <c r="G36" s="7">
        <v>49.8</v>
      </c>
    </row>
    <row r="37" spans="1:7">
      <c r="A37" s="7">
        <v>2006</v>
      </c>
      <c r="B37" s="11">
        <v>4.0500000000000001E-2</v>
      </c>
      <c r="C37" s="11">
        <v>6.1899999999999997E-2</v>
      </c>
      <c r="D37" s="11">
        <v>1.9800000000000002E-2</v>
      </c>
      <c r="E37" s="47">
        <v>554.38019999999995</v>
      </c>
      <c r="F37" s="7">
        <v>250.6</v>
      </c>
      <c r="G37" s="7">
        <v>45.2</v>
      </c>
    </row>
    <row r="38" spans="1:7">
      <c r="A38" s="7">
        <v>2007</v>
      </c>
      <c r="B38" s="11">
        <v>4.3499999999999997E-2</v>
      </c>
      <c r="C38" s="11">
        <v>5.9799999999999999E-2</v>
      </c>
      <c r="D38" s="11">
        <v>1.7299999999999999E-2</v>
      </c>
      <c r="E38" s="47">
        <v>587.53099999999995</v>
      </c>
      <c r="F38" s="7">
        <v>252.6</v>
      </c>
      <c r="G38" s="7">
        <v>43</v>
      </c>
    </row>
    <row r="39" spans="1:7">
      <c r="A39" s="7">
        <v>2008</v>
      </c>
      <c r="B39" s="11">
        <v>4.7500000000000001E-2</v>
      </c>
      <c r="C39" s="11">
        <v>4.5499999999999999E-2</v>
      </c>
      <c r="D39" s="11">
        <v>2.1700000000000001E-2</v>
      </c>
      <c r="E39" s="47">
        <v>614.2672</v>
      </c>
      <c r="F39" s="7">
        <v>336</v>
      </c>
      <c r="G39" s="7">
        <v>54.7</v>
      </c>
    </row>
    <row r="40" spans="1:7">
      <c r="A40" s="7">
        <v>2009</v>
      </c>
      <c r="B40" s="11">
        <v>3.7199999999999997E-2</v>
      </c>
      <c r="C40" s="11">
        <v>-3.5099999999999999E-2</v>
      </c>
      <c r="D40" s="11">
        <v>-3.1800000000000002E-2</v>
      </c>
      <c r="E40" s="47">
        <v>592.72239999999999</v>
      </c>
      <c r="F40" s="7">
        <v>336.7</v>
      </c>
      <c r="G40" s="7">
        <v>56.8</v>
      </c>
    </row>
    <row r="41" spans="1:7">
      <c r="A41" s="7">
        <v>2010</v>
      </c>
      <c r="B41" s="11">
        <v>3.1399999999999997E-2</v>
      </c>
      <c r="C41" s="11">
        <v>2.2100000000000002E-2</v>
      </c>
      <c r="D41" s="11">
        <v>-3.56E-2</v>
      </c>
      <c r="E41" s="47">
        <v>605.83159999999998</v>
      </c>
      <c r="F41" s="7">
        <v>359.3</v>
      </c>
      <c r="G41" s="7">
        <v>59.3</v>
      </c>
    </row>
    <row r="42" spans="1:7">
      <c r="A42" s="7">
        <v>2011</v>
      </c>
      <c r="B42" s="11">
        <v>3.0200000000000001E-2</v>
      </c>
      <c r="C42" s="11">
        <v>1.7999999999999999E-2</v>
      </c>
      <c r="D42" s="11">
        <v>-2.6499999999999999E-2</v>
      </c>
      <c r="E42" s="47">
        <v>616.75599999999997</v>
      </c>
      <c r="F42" s="7">
        <v>380.5</v>
      </c>
      <c r="G42" s="7">
        <v>61.7</v>
      </c>
    </row>
    <row r="43" spans="1:7">
      <c r="A43" s="7">
        <v>2012</v>
      </c>
      <c r="B43" s="11">
        <v>2.7199999999999998E-2</v>
      </c>
      <c r="C43" s="11">
        <v>3.8999999999999998E-3</v>
      </c>
      <c r="D43" s="11">
        <v>-2.2499999999999999E-2</v>
      </c>
      <c r="E43" s="47">
        <v>619.13670000000002</v>
      </c>
      <c r="F43" s="7">
        <v>409.9</v>
      </c>
      <c r="G43" s="7">
        <v>66.2</v>
      </c>
    </row>
    <row r="44" spans="1:7">
      <c r="A44" s="7">
        <v>2013</v>
      </c>
      <c r="B44" s="11">
        <v>2.35E-2</v>
      </c>
      <c r="C44" s="11">
        <v>1.2E-2</v>
      </c>
      <c r="D44" s="11">
        <v>-1.4E-2</v>
      </c>
      <c r="E44" s="47">
        <v>626.55830000000003</v>
      </c>
      <c r="F44" s="7">
        <v>424.2</v>
      </c>
      <c r="G44" s="7">
        <v>67.7</v>
      </c>
    </row>
    <row r="45" spans="1:7">
      <c r="A45" s="7">
        <v>2014</v>
      </c>
      <c r="B45" s="11">
        <v>2.1700000000000001E-2</v>
      </c>
      <c r="C45" s="11">
        <v>1.7000000000000001E-2</v>
      </c>
      <c r="D45" s="11">
        <v>-7.9000000000000008E-3</v>
      </c>
      <c r="E45" s="47">
        <v>637.23609999999996</v>
      </c>
      <c r="F45" s="7">
        <v>432.7</v>
      </c>
      <c r="G45" s="7">
        <v>67.900000000000006</v>
      </c>
    </row>
    <row r="46" spans="1:7">
      <c r="A46" s="7">
        <v>2015</v>
      </c>
      <c r="B46" s="11">
        <v>1.9199999999999998E-2</v>
      </c>
      <c r="C46" s="11">
        <v>2.8199999999999999E-2</v>
      </c>
      <c r="D46" s="11">
        <v>-6.4000000000000003E-3</v>
      </c>
      <c r="E46" s="47">
        <v>655.18060000000003</v>
      </c>
      <c r="F46" s="7">
        <v>423.2</v>
      </c>
      <c r="G46" s="7">
        <v>64.599999999999994</v>
      </c>
    </row>
    <row r="47" spans="1:7">
      <c r="A47" s="7">
        <v>2016</v>
      </c>
      <c r="B47" s="11">
        <v>1.78E-2</v>
      </c>
      <c r="C47" s="11">
        <v>2.7099999999999999E-2</v>
      </c>
      <c r="D47" s="11">
        <v>1.2800000000000001E-2</v>
      </c>
      <c r="E47" s="47">
        <v>672.94259999999997</v>
      </c>
      <c r="F47" s="7">
        <v>416.6</v>
      </c>
      <c r="G47" s="7">
        <v>61.9</v>
      </c>
    </row>
    <row r="48" spans="1:7">
      <c r="A48" s="7">
        <v>2017</v>
      </c>
      <c r="B48" s="11">
        <v>1.6199999999999999E-2</v>
      </c>
      <c r="C48" s="11">
        <v>4.24E-2</v>
      </c>
      <c r="D48" s="11">
        <v>2.3699999999999999E-2</v>
      </c>
      <c r="E48" s="47">
        <v>701.45989999999995</v>
      </c>
      <c r="F48" s="7">
        <v>399.8</v>
      </c>
      <c r="G48" s="7">
        <v>57</v>
      </c>
    </row>
    <row r="49" spans="1:7">
      <c r="A49" s="7">
        <v>2018</v>
      </c>
      <c r="B49" s="11">
        <v>1.5699999999999999E-2</v>
      </c>
      <c r="C49" s="11">
        <v>4.8599999999999997E-2</v>
      </c>
      <c r="D49" s="11">
        <v>2.4E-2</v>
      </c>
      <c r="E49" s="47">
        <v>735.53399999999999</v>
      </c>
      <c r="F49" s="7">
        <v>385.4</v>
      </c>
      <c r="G49" s="7">
        <v>52.4</v>
      </c>
    </row>
    <row r="50" spans="1:7">
      <c r="A50" s="7">
        <v>2019</v>
      </c>
      <c r="B50" s="11">
        <v>1.46E-2</v>
      </c>
      <c r="C50" s="11">
        <v>5.0599999999999999E-2</v>
      </c>
      <c r="D50" s="11">
        <v>2.5700000000000001E-2</v>
      </c>
      <c r="E50" s="47">
        <v>772.75199999999995</v>
      </c>
      <c r="F50" s="7">
        <v>374.8</v>
      </c>
      <c r="G50" s="7">
        <v>48.5</v>
      </c>
    </row>
    <row r="51" spans="1:7">
      <c r="A51" s="7">
        <v>2020</v>
      </c>
      <c r="B51" s="11">
        <v>1.4E-2</v>
      </c>
      <c r="C51" s="11">
        <v>-2.07E-2</v>
      </c>
      <c r="D51" s="11">
        <v>-3.0300000000000001E-2</v>
      </c>
      <c r="E51" s="47">
        <v>756.72439999999995</v>
      </c>
      <c r="F51" s="7">
        <v>413.9</v>
      </c>
      <c r="G51" s="7">
        <v>54.7</v>
      </c>
    </row>
    <row r="52" spans="1:7">
      <c r="A52" s="7">
        <v>2021</v>
      </c>
      <c r="B52" s="11">
        <v>1.04E-2</v>
      </c>
      <c r="C52" s="11">
        <v>7.5200000000000003E-2</v>
      </c>
      <c r="D52" s="11">
        <v>-2.0400000000000001E-2</v>
      </c>
      <c r="E52" s="47">
        <v>813.649</v>
      </c>
      <c r="F52" s="7">
        <v>426.4</v>
      </c>
      <c r="G52" s="7">
        <v>52.4</v>
      </c>
    </row>
    <row r="53" spans="1:7">
      <c r="A53" s="7">
        <v>2022</v>
      </c>
      <c r="B53" s="11">
        <v>9.1999999999999998E-3</v>
      </c>
      <c r="C53" s="11">
        <v>8.9899999999999994E-2</v>
      </c>
      <c r="D53" s="11">
        <v>-6.0000000000000001E-3</v>
      </c>
      <c r="E53" s="47">
        <v>886.822</v>
      </c>
      <c r="F53" s="7">
        <v>439.9</v>
      </c>
      <c r="G53" s="7">
        <v>49.6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11">
    <outlinePr summaryBelow="0" summaryRight="0"/>
  </sheetPr>
  <dimension ref="A1:E61"/>
  <sheetViews>
    <sheetView topLeftCell="A46" workbookViewId="0"/>
  </sheetViews>
  <sheetFormatPr defaultColWidth="12.6640625" defaultRowHeight="15.75" customHeight="1"/>
  <sheetData>
    <row r="1" spans="1:5">
      <c r="A1" s="7" t="s">
        <v>110</v>
      </c>
      <c r="B1" s="7" t="s">
        <v>111</v>
      </c>
      <c r="C1" s="7" t="s">
        <v>112</v>
      </c>
      <c r="D1" s="7" t="s">
        <v>113</v>
      </c>
      <c r="E1" s="7" t="s">
        <v>114</v>
      </c>
    </row>
    <row r="2" spans="1:5">
      <c r="A2" s="7">
        <v>1963</v>
      </c>
      <c r="B2" s="7">
        <v>3.8</v>
      </c>
    </row>
    <row r="3" spans="1:5">
      <c r="A3" s="7">
        <v>1964</v>
      </c>
      <c r="B3" s="7">
        <v>5.5</v>
      </c>
    </row>
    <row r="4" spans="1:5">
      <c r="A4" s="7">
        <v>1965</v>
      </c>
      <c r="B4" s="7">
        <v>5.2</v>
      </c>
    </row>
    <row r="5" spans="1:5">
      <c r="A5" s="7">
        <v>1966</v>
      </c>
      <c r="B5" s="7">
        <v>5.8</v>
      </c>
    </row>
    <row r="6" spans="1:5">
      <c r="A6" s="7">
        <v>1967</v>
      </c>
      <c r="B6" s="7">
        <v>3.1</v>
      </c>
    </row>
    <row r="7" spans="1:5">
      <c r="A7" s="7">
        <v>1968</v>
      </c>
      <c r="B7" s="7">
        <v>3.7</v>
      </c>
    </row>
    <row r="8" spans="1:5">
      <c r="A8" s="7">
        <v>1969</v>
      </c>
      <c r="B8" s="7">
        <v>7.5</v>
      </c>
    </row>
    <row r="9" spans="1:5">
      <c r="A9" s="7">
        <v>1970</v>
      </c>
      <c r="B9" s="7">
        <v>4.4000000000000004</v>
      </c>
    </row>
    <row r="10" spans="1:5">
      <c r="A10" s="7">
        <v>1971</v>
      </c>
      <c r="B10" s="7">
        <v>7.6</v>
      </c>
    </row>
    <row r="11" spans="1:5">
      <c r="A11" s="7">
        <v>1972</v>
      </c>
      <c r="B11" s="7">
        <v>7.8</v>
      </c>
    </row>
    <row r="12" spans="1:5">
      <c r="A12" s="7">
        <v>1973</v>
      </c>
      <c r="B12" s="7">
        <v>8</v>
      </c>
    </row>
    <row r="13" spans="1:5">
      <c r="A13" s="7">
        <v>1974</v>
      </c>
      <c r="B13" s="7">
        <v>9.6</v>
      </c>
    </row>
    <row r="14" spans="1:5">
      <c r="A14" s="7">
        <v>1975</v>
      </c>
      <c r="B14" s="7">
        <v>10.199999999999999</v>
      </c>
    </row>
    <row r="15" spans="1:5">
      <c r="A15" s="7">
        <v>1976</v>
      </c>
      <c r="B15" s="7">
        <v>8.8000000000000007</v>
      </c>
    </row>
    <row r="16" spans="1:5">
      <c r="A16" s="7">
        <v>1977</v>
      </c>
      <c r="B16" s="7">
        <v>6.7</v>
      </c>
    </row>
    <row r="17" spans="1:4">
      <c r="A17" s="7">
        <v>1978</v>
      </c>
      <c r="B17" s="7">
        <v>4.0999999999999996</v>
      </c>
    </row>
    <row r="18" spans="1:4">
      <c r="A18" s="7">
        <v>1979</v>
      </c>
      <c r="B18" s="7">
        <v>4.2</v>
      </c>
    </row>
    <row r="19" spans="1:4">
      <c r="A19" s="7">
        <v>1980</v>
      </c>
      <c r="B19" s="7">
        <v>6.5</v>
      </c>
    </row>
    <row r="20" spans="1:4">
      <c r="A20" s="7">
        <v>1981</v>
      </c>
      <c r="B20" s="7">
        <v>6.7</v>
      </c>
    </row>
    <row r="21" spans="1:4">
      <c r="A21" s="7">
        <v>1982</v>
      </c>
      <c r="B21" s="7">
        <v>6</v>
      </c>
    </row>
    <row r="22" spans="1:4">
      <c r="A22" s="7">
        <v>1983</v>
      </c>
      <c r="B22" s="7">
        <v>2.8</v>
      </c>
    </row>
    <row r="23" spans="1:4">
      <c r="A23" s="7">
        <v>1984</v>
      </c>
      <c r="B23" s="7">
        <v>3.3</v>
      </c>
    </row>
    <row r="24" spans="1:4">
      <c r="A24" s="7">
        <v>1985</v>
      </c>
      <c r="B24" s="7">
        <v>2.2999999999999998</v>
      </c>
    </row>
    <row r="25" spans="1:4">
      <c r="A25" s="7">
        <v>1986</v>
      </c>
      <c r="B25" s="7">
        <v>0.2</v>
      </c>
    </row>
    <row r="26" spans="1:4">
      <c r="A26" s="7">
        <v>1987</v>
      </c>
      <c r="B26" s="7">
        <v>-0.5</v>
      </c>
    </row>
    <row r="27" spans="1:4">
      <c r="A27" s="7">
        <v>1988</v>
      </c>
      <c r="B27" s="7">
        <v>0.7</v>
      </c>
    </row>
    <row r="28" spans="1:4">
      <c r="A28" s="7">
        <v>1989</v>
      </c>
      <c r="B28" s="7">
        <v>1.1000000000000001</v>
      </c>
    </row>
    <row r="29" spans="1:4">
      <c r="A29" s="7">
        <v>1990</v>
      </c>
      <c r="B29" s="7">
        <v>2.5</v>
      </c>
    </row>
    <row r="30" spans="1:4">
      <c r="A30" s="7">
        <v>1991</v>
      </c>
      <c r="B30" s="7">
        <v>3.9</v>
      </c>
    </row>
    <row r="31" spans="1:4">
      <c r="A31" s="7">
        <v>1992</v>
      </c>
      <c r="B31" s="7">
        <v>3.7</v>
      </c>
    </row>
    <row r="32" spans="1:4">
      <c r="A32" s="7">
        <v>1993</v>
      </c>
      <c r="B32" s="7">
        <v>2.1</v>
      </c>
      <c r="D32" s="7">
        <v>1</v>
      </c>
    </row>
    <row r="33" spans="1:5">
      <c r="A33" s="7">
        <v>1994</v>
      </c>
      <c r="B33" s="7">
        <v>2.7</v>
      </c>
      <c r="C33" s="7">
        <v>2.4</v>
      </c>
      <c r="D33" s="45">
        <f t="shared" ref="D33:D61" si="0">(1+C33/100)*D32</f>
        <v>1.024</v>
      </c>
    </row>
    <row r="34" spans="1:5">
      <c r="A34" s="7">
        <v>1995</v>
      </c>
      <c r="B34" s="7">
        <v>2</v>
      </c>
      <c r="C34" s="7">
        <v>1.8</v>
      </c>
      <c r="D34" s="45">
        <f t="shared" si="0"/>
        <v>1.042432</v>
      </c>
    </row>
    <row r="35" spans="1:5">
      <c r="A35" s="7">
        <v>1996</v>
      </c>
      <c r="B35" s="7">
        <v>2.1</v>
      </c>
      <c r="C35" s="7">
        <v>1.5</v>
      </c>
      <c r="D35" s="45">
        <f t="shared" si="0"/>
        <v>1.05806848</v>
      </c>
    </row>
    <row r="36" spans="1:5">
      <c r="A36" s="7">
        <v>1997</v>
      </c>
      <c r="B36" s="7">
        <v>2.2000000000000002</v>
      </c>
      <c r="C36" s="7">
        <v>2</v>
      </c>
      <c r="D36" s="45">
        <f t="shared" si="0"/>
        <v>1.0792298495999999</v>
      </c>
    </row>
    <row r="37" spans="1:5">
      <c r="A37" s="7">
        <v>1998</v>
      </c>
      <c r="B37" s="7">
        <v>2</v>
      </c>
      <c r="C37" s="7">
        <v>1.7</v>
      </c>
      <c r="D37" s="45">
        <f t="shared" si="0"/>
        <v>1.0975767570431998</v>
      </c>
    </row>
    <row r="38" spans="1:5">
      <c r="A38" s="7">
        <v>1999</v>
      </c>
      <c r="B38" s="7">
        <v>2.2000000000000002</v>
      </c>
      <c r="C38" s="7">
        <v>1.7</v>
      </c>
      <c r="D38" s="45">
        <f t="shared" si="0"/>
        <v>1.116235561912934</v>
      </c>
      <c r="E38" s="7">
        <v>1.9</v>
      </c>
    </row>
    <row r="39" spans="1:5">
      <c r="A39" s="7">
        <v>2000</v>
      </c>
      <c r="B39" s="7">
        <v>2.6</v>
      </c>
      <c r="C39" s="7">
        <v>2.2000000000000002</v>
      </c>
      <c r="D39" s="45">
        <f t="shared" si="0"/>
        <v>1.1407927442750185</v>
      </c>
      <c r="E39" s="7">
        <v>1.8</v>
      </c>
    </row>
    <row r="40" spans="1:5">
      <c r="A40" s="7">
        <v>2001</v>
      </c>
      <c r="B40" s="7">
        <v>4.5</v>
      </c>
      <c r="C40" s="7">
        <v>3.6</v>
      </c>
      <c r="D40" s="45">
        <f t="shared" si="0"/>
        <v>1.1818612830689192</v>
      </c>
      <c r="E40" s="7">
        <v>1.8</v>
      </c>
    </row>
    <row r="41" spans="1:5">
      <c r="A41" s="7">
        <v>2002</v>
      </c>
      <c r="B41" s="7">
        <v>3.4</v>
      </c>
      <c r="C41" s="7">
        <v>3.4</v>
      </c>
      <c r="D41" s="45">
        <f t="shared" si="0"/>
        <v>1.2220445666932624</v>
      </c>
      <c r="E41" s="7">
        <v>1.9</v>
      </c>
    </row>
    <row r="42" spans="1:5">
      <c r="A42" s="7">
        <v>2003</v>
      </c>
      <c r="B42" s="7">
        <v>2.1</v>
      </c>
      <c r="C42" s="7">
        <v>1.9</v>
      </c>
      <c r="D42" s="45">
        <f t="shared" si="0"/>
        <v>1.2452634134604343</v>
      </c>
      <c r="E42" s="7">
        <v>1.9</v>
      </c>
    </row>
    <row r="43" spans="1:5">
      <c r="A43" s="7">
        <v>2004</v>
      </c>
      <c r="B43" s="7">
        <v>1.2</v>
      </c>
      <c r="C43" s="7">
        <v>0.9</v>
      </c>
      <c r="D43" s="45">
        <f t="shared" si="0"/>
        <v>1.2564707841815781</v>
      </c>
      <c r="E43" s="7">
        <v>1.9</v>
      </c>
    </row>
    <row r="44" spans="1:5">
      <c r="A44" s="7">
        <v>2005</v>
      </c>
      <c r="B44" s="7">
        <v>1.7</v>
      </c>
      <c r="C44" s="7">
        <v>1.4</v>
      </c>
      <c r="D44" s="45">
        <f t="shared" si="0"/>
        <v>1.2740613751601202</v>
      </c>
      <c r="E44" s="7">
        <v>1.9</v>
      </c>
    </row>
    <row r="45" spans="1:5">
      <c r="A45" s="7">
        <v>2006</v>
      </c>
      <c r="B45" s="7">
        <v>1.1000000000000001</v>
      </c>
      <c r="C45" s="7">
        <v>1.5</v>
      </c>
      <c r="D45" s="45">
        <f t="shared" si="0"/>
        <v>1.2931722957875218</v>
      </c>
      <c r="E45" s="7">
        <v>1.9</v>
      </c>
    </row>
    <row r="46" spans="1:5">
      <c r="A46" s="7">
        <v>2007</v>
      </c>
      <c r="B46" s="7">
        <v>1.6</v>
      </c>
      <c r="C46" s="7">
        <v>1.5</v>
      </c>
      <c r="D46" s="45">
        <f t="shared" si="0"/>
        <v>1.3125698802243344</v>
      </c>
      <c r="E46" s="7">
        <v>1.9</v>
      </c>
    </row>
    <row r="47" spans="1:5">
      <c r="A47" s="7">
        <v>2008</v>
      </c>
      <c r="B47" s="7">
        <v>2.5</v>
      </c>
      <c r="C47" s="7">
        <v>2.2000000000000002</v>
      </c>
      <c r="D47" s="45">
        <f t="shared" si="0"/>
        <v>1.3414464175892697</v>
      </c>
      <c r="E47" s="7">
        <v>2</v>
      </c>
    </row>
    <row r="48" spans="1:5">
      <c r="A48" s="7">
        <v>2009</v>
      </c>
      <c r="B48" s="7">
        <v>1.2</v>
      </c>
      <c r="C48" s="7">
        <v>0.9</v>
      </c>
      <c r="D48" s="45">
        <f t="shared" si="0"/>
        <v>1.353519435347573</v>
      </c>
      <c r="E48" s="7">
        <v>1.9</v>
      </c>
    </row>
    <row r="49" spans="1:5">
      <c r="A49" s="7">
        <v>2010</v>
      </c>
      <c r="B49" s="7">
        <v>1.3</v>
      </c>
      <c r="C49" s="7">
        <v>1.1000000000000001</v>
      </c>
      <c r="D49" s="45">
        <f t="shared" si="0"/>
        <v>1.3684081491363962</v>
      </c>
      <c r="E49" s="7">
        <v>1.9</v>
      </c>
    </row>
    <row r="50" spans="1:5">
      <c r="A50" s="7">
        <v>2011</v>
      </c>
      <c r="B50" s="7">
        <v>2.2999999999999998</v>
      </c>
      <c r="C50" s="7">
        <v>2.2000000000000002</v>
      </c>
      <c r="D50" s="45">
        <f t="shared" si="0"/>
        <v>1.3985131284173968</v>
      </c>
      <c r="E50" s="7">
        <v>2</v>
      </c>
    </row>
    <row r="51" spans="1:5">
      <c r="A51" s="7">
        <v>2012</v>
      </c>
      <c r="B51" s="7">
        <v>2.5</v>
      </c>
      <c r="C51" s="7">
        <v>2.1</v>
      </c>
      <c r="D51" s="45">
        <f t="shared" si="0"/>
        <v>1.4278819041141619</v>
      </c>
      <c r="E51" s="7">
        <v>2</v>
      </c>
    </row>
    <row r="52" spans="1:5">
      <c r="A52" s="7">
        <v>2013</v>
      </c>
      <c r="B52" s="7">
        <v>2.5</v>
      </c>
      <c r="C52" s="7">
        <v>1.3</v>
      </c>
      <c r="D52" s="45">
        <f t="shared" si="0"/>
        <v>1.4464443688676458</v>
      </c>
      <c r="E52" s="7">
        <v>2</v>
      </c>
    </row>
    <row r="53" spans="1:5">
      <c r="A53" s="7">
        <v>2014</v>
      </c>
      <c r="B53" s="7">
        <v>1</v>
      </c>
      <c r="C53" s="7">
        <v>0.6</v>
      </c>
      <c r="D53" s="45">
        <f t="shared" si="0"/>
        <v>1.4551230350808517</v>
      </c>
      <c r="E53" s="7">
        <v>1.9</v>
      </c>
    </row>
    <row r="54" spans="1:5">
      <c r="A54" s="7">
        <v>2015</v>
      </c>
      <c r="B54" s="7">
        <v>0.6</v>
      </c>
      <c r="C54" s="7">
        <v>0.5</v>
      </c>
      <c r="D54" s="45">
        <f t="shared" si="0"/>
        <v>1.4623986502562558</v>
      </c>
      <c r="E54" s="7">
        <v>1.8</v>
      </c>
    </row>
    <row r="55" spans="1:5">
      <c r="A55" s="7">
        <v>2016</v>
      </c>
      <c r="B55" s="7">
        <v>0.3</v>
      </c>
      <c r="C55" s="7">
        <v>0.3</v>
      </c>
      <c r="D55" s="45">
        <f t="shared" si="0"/>
        <v>1.4667858462070245</v>
      </c>
      <c r="E55" s="7">
        <v>1.8</v>
      </c>
    </row>
    <row r="56" spans="1:5">
      <c r="A56" s="7">
        <v>2017</v>
      </c>
      <c r="B56" s="7">
        <v>1.4</v>
      </c>
      <c r="C56" s="7">
        <v>1.4</v>
      </c>
      <c r="D56" s="45">
        <f t="shared" si="0"/>
        <v>1.4873208480539228</v>
      </c>
      <c r="E56" s="7">
        <v>1.8</v>
      </c>
    </row>
    <row r="57" spans="1:5">
      <c r="A57" s="7">
        <v>2018</v>
      </c>
      <c r="B57" s="7">
        <v>1.7</v>
      </c>
      <c r="C57" s="7">
        <v>1.4</v>
      </c>
      <c r="D57" s="45">
        <f t="shared" si="0"/>
        <v>1.5081433399266777</v>
      </c>
      <c r="E57" s="7">
        <v>1.9</v>
      </c>
    </row>
    <row r="58" spans="1:5">
      <c r="A58" s="7">
        <v>2019</v>
      </c>
      <c r="B58" s="7">
        <v>2.6</v>
      </c>
      <c r="C58" s="7">
        <v>1.6</v>
      </c>
      <c r="D58" s="45">
        <f t="shared" si="0"/>
        <v>1.5322736333655045</v>
      </c>
      <c r="E58" s="7">
        <v>1.8</v>
      </c>
    </row>
    <row r="59" spans="1:5">
      <c r="A59" s="7">
        <v>2020</v>
      </c>
      <c r="B59" s="7">
        <v>1.3</v>
      </c>
      <c r="C59" s="7">
        <v>1.2</v>
      </c>
      <c r="D59" s="45">
        <f t="shared" si="0"/>
        <v>1.5506609169658905</v>
      </c>
      <c r="E59" s="7">
        <v>1.7</v>
      </c>
    </row>
    <row r="60" spans="1:5">
      <c r="A60" s="7">
        <v>2021</v>
      </c>
      <c r="B60" s="7">
        <v>2.7</v>
      </c>
      <c r="C60" s="7">
        <v>2.5</v>
      </c>
      <c r="D60" s="45">
        <f t="shared" si="0"/>
        <v>1.5894274398900377</v>
      </c>
      <c r="E60" s="7">
        <v>1.7</v>
      </c>
    </row>
    <row r="61" spans="1:5">
      <c r="A61" s="7">
        <v>2022</v>
      </c>
      <c r="B61" s="7">
        <v>10</v>
      </c>
      <c r="C61" s="7">
        <v>11.8</v>
      </c>
      <c r="D61" s="45">
        <f t="shared" si="0"/>
        <v>1.7769798777970622</v>
      </c>
      <c r="E61" s="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12">
    <outlinePr summaryBelow="0" summaryRight="0"/>
  </sheetPr>
  <dimension ref="A1:B59"/>
  <sheetViews>
    <sheetView workbookViewId="0"/>
  </sheetViews>
  <sheetFormatPr defaultColWidth="12.6640625" defaultRowHeight="15.75" customHeight="1"/>
  <sheetData>
    <row r="1" spans="1:2">
      <c r="A1" s="1" t="s">
        <v>0</v>
      </c>
      <c r="B1" s="1" t="s">
        <v>115</v>
      </c>
    </row>
    <row r="2" spans="1:2">
      <c r="A2" s="7">
        <v>1965</v>
      </c>
      <c r="B2" s="7">
        <v>1.3</v>
      </c>
    </row>
    <row r="3" spans="1:2">
      <c r="A3" s="7">
        <v>1966</v>
      </c>
      <c r="B3" s="7">
        <v>-1.5</v>
      </c>
    </row>
    <row r="4" spans="1:2">
      <c r="A4" s="7">
        <v>1967</v>
      </c>
      <c r="B4" s="7">
        <v>-1.8</v>
      </c>
    </row>
    <row r="5" spans="1:2">
      <c r="A5" s="7">
        <v>1968</v>
      </c>
      <c r="B5" s="7">
        <v>-0.8</v>
      </c>
    </row>
    <row r="6" spans="1:2">
      <c r="A6" s="7">
        <v>1969</v>
      </c>
      <c r="B6" s="7">
        <v>0.6</v>
      </c>
    </row>
    <row r="7" spans="1:2">
      <c r="A7" s="7">
        <v>1970</v>
      </c>
      <c r="B7" s="7">
        <v>1.6</v>
      </c>
    </row>
    <row r="8" spans="1:2">
      <c r="A8" s="7">
        <v>1971</v>
      </c>
      <c r="B8" s="7">
        <v>1.3</v>
      </c>
    </row>
    <row r="9" spans="1:2">
      <c r="A9" s="7">
        <v>1972</v>
      </c>
      <c r="B9" s="7">
        <v>0.8</v>
      </c>
    </row>
    <row r="10" spans="1:2">
      <c r="A10" s="7">
        <v>1973</v>
      </c>
      <c r="B10" s="7">
        <v>2.4</v>
      </c>
    </row>
    <row r="11" spans="1:2">
      <c r="A11" s="7">
        <v>1974</v>
      </c>
      <c r="B11" s="7">
        <v>2.6</v>
      </c>
    </row>
    <row r="12" spans="1:2">
      <c r="A12" s="7">
        <v>1975</v>
      </c>
      <c r="B12" s="7">
        <v>-0.1</v>
      </c>
    </row>
    <row r="13" spans="1:2">
      <c r="A13" s="7">
        <v>1976</v>
      </c>
      <c r="B13" s="7">
        <v>1.6</v>
      </c>
    </row>
    <row r="14" spans="1:2">
      <c r="A14" s="7">
        <v>1977</v>
      </c>
      <c r="B14" s="7">
        <v>1.6</v>
      </c>
    </row>
    <row r="15" spans="1:2">
      <c r="A15" s="7">
        <v>1978</v>
      </c>
      <c r="B15" s="7">
        <v>2</v>
      </c>
    </row>
    <row r="16" spans="1:2">
      <c r="A16" s="7">
        <v>1979</v>
      </c>
      <c r="B16" s="7">
        <v>1.8</v>
      </c>
    </row>
    <row r="17" spans="1:2">
      <c r="A17" s="7">
        <v>1980</v>
      </c>
      <c r="B17" s="7">
        <v>0.9</v>
      </c>
    </row>
    <row r="18" spans="1:2">
      <c r="A18" s="7">
        <v>1981</v>
      </c>
      <c r="B18" s="7">
        <v>-1.3</v>
      </c>
    </row>
    <row r="19" spans="1:2">
      <c r="A19" s="7">
        <v>1982</v>
      </c>
      <c r="B19" s="7">
        <v>-3.4</v>
      </c>
    </row>
    <row r="20" spans="1:2">
      <c r="A20" s="7">
        <v>1983</v>
      </c>
      <c r="B20" s="7">
        <v>-2.9</v>
      </c>
    </row>
    <row r="21" spans="1:2">
      <c r="A21" s="7">
        <v>1984</v>
      </c>
      <c r="B21" s="7">
        <v>-1.2</v>
      </c>
    </row>
    <row r="22" spans="1:2">
      <c r="A22" s="7">
        <v>1985</v>
      </c>
      <c r="B22" s="7">
        <v>-0.4</v>
      </c>
    </row>
    <row r="23" spans="1:2">
      <c r="A23" s="7">
        <v>1986</v>
      </c>
      <c r="B23" s="7">
        <v>0.3</v>
      </c>
    </row>
    <row r="24" spans="1:2">
      <c r="A24" s="7">
        <v>1987</v>
      </c>
      <c r="B24" s="7">
        <v>0</v>
      </c>
    </row>
    <row r="25" spans="1:2">
      <c r="A25" s="7">
        <v>1988</v>
      </c>
      <c r="B25" s="7">
        <v>0.7</v>
      </c>
    </row>
    <row r="26" spans="1:2">
      <c r="A26" s="7">
        <v>1989</v>
      </c>
      <c r="B26" s="7">
        <v>2.1</v>
      </c>
    </row>
    <row r="27" spans="1:2">
      <c r="A27" s="7">
        <v>1990</v>
      </c>
      <c r="B27" s="7">
        <v>3.2</v>
      </c>
    </row>
    <row r="28" spans="1:2">
      <c r="A28" s="7">
        <v>1991</v>
      </c>
      <c r="B28" s="7">
        <v>2.4</v>
      </c>
    </row>
    <row r="29" spans="1:2">
      <c r="A29" s="7">
        <v>1992</v>
      </c>
      <c r="B29" s="7">
        <v>0.9</v>
      </c>
    </row>
    <row r="30" spans="1:2">
      <c r="A30" s="7">
        <v>1993</v>
      </c>
      <c r="B30" s="7">
        <v>-1</v>
      </c>
    </row>
    <row r="31" spans="1:2">
      <c r="A31" s="7">
        <v>1994</v>
      </c>
      <c r="B31" s="7">
        <v>-1.1000000000000001</v>
      </c>
    </row>
    <row r="32" spans="1:2">
      <c r="A32" s="7">
        <v>1995</v>
      </c>
      <c r="B32" s="7">
        <v>-1.3</v>
      </c>
    </row>
    <row r="33" spans="1:2">
      <c r="A33" s="7">
        <v>1996</v>
      </c>
      <c r="B33" s="7">
        <v>-1.2</v>
      </c>
    </row>
    <row r="34" spans="1:2">
      <c r="A34" s="7">
        <v>1997</v>
      </c>
      <c r="B34" s="7">
        <v>-0.5</v>
      </c>
    </row>
    <row r="35" spans="1:2">
      <c r="A35" s="7">
        <v>1998</v>
      </c>
      <c r="B35" s="7">
        <v>0.5</v>
      </c>
    </row>
    <row r="36" spans="1:2">
      <c r="A36" s="7">
        <v>1999</v>
      </c>
      <c r="B36" s="7">
        <v>1.9</v>
      </c>
    </row>
    <row r="37" spans="1:2">
      <c r="A37" s="7">
        <v>2000</v>
      </c>
      <c r="B37" s="7">
        <v>2.7</v>
      </c>
    </row>
    <row r="38" spans="1:2">
      <c r="A38" s="7">
        <v>2001</v>
      </c>
      <c r="B38" s="7">
        <v>1.9</v>
      </c>
    </row>
    <row r="39" spans="1:2">
      <c r="A39" s="7">
        <v>2002</v>
      </c>
      <c r="B39" s="7">
        <v>-0.4</v>
      </c>
    </row>
    <row r="40" spans="1:2">
      <c r="A40" s="7">
        <v>2003</v>
      </c>
      <c r="B40" s="7">
        <v>-2.2999999999999998</v>
      </c>
    </row>
    <row r="41" spans="1:2">
      <c r="A41" s="7">
        <v>2004</v>
      </c>
      <c r="B41" s="7">
        <v>-2.1</v>
      </c>
    </row>
    <row r="42" spans="1:2">
      <c r="A42" s="7">
        <v>2005</v>
      </c>
      <c r="B42" s="7">
        <v>-1.6</v>
      </c>
    </row>
    <row r="43" spans="1:2">
      <c r="A43" s="7">
        <v>2006</v>
      </c>
      <c r="B43" s="7">
        <v>0</v>
      </c>
    </row>
    <row r="44" spans="1:2">
      <c r="A44" s="7">
        <v>2007</v>
      </c>
      <c r="B44" s="7">
        <v>1.8</v>
      </c>
    </row>
    <row r="45" spans="1:2">
      <c r="A45" s="7">
        <v>2008</v>
      </c>
      <c r="B45" s="7">
        <v>2.2000000000000002</v>
      </c>
    </row>
    <row r="46" spans="1:2">
      <c r="A46" s="7">
        <v>2009</v>
      </c>
      <c r="B46" s="7">
        <v>-2.6</v>
      </c>
    </row>
    <row r="47" spans="1:2">
      <c r="A47" s="7">
        <v>2010</v>
      </c>
      <c r="B47" s="7">
        <v>-1.9</v>
      </c>
    </row>
    <row r="48" spans="1:2">
      <c r="A48" s="7">
        <v>2011</v>
      </c>
      <c r="B48" s="7">
        <v>-1.2</v>
      </c>
    </row>
    <row r="49" spans="1:2">
      <c r="A49" s="7">
        <v>2012</v>
      </c>
      <c r="B49" s="7">
        <v>-2.6</v>
      </c>
    </row>
    <row r="50" spans="1:2">
      <c r="A50" s="7">
        <v>2013</v>
      </c>
      <c r="B50" s="7">
        <v>-3.1</v>
      </c>
    </row>
    <row r="51" spans="1:2">
      <c r="A51" s="7">
        <v>2014</v>
      </c>
      <c r="B51" s="7">
        <v>-2.2000000000000002</v>
      </c>
    </row>
    <row r="52" spans="1:2">
      <c r="A52" s="7">
        <v>2015</v>
      </c>
      <c r="B52" s="7">
        <v>-1.7</v>
      </c>
    </row>
    <row r="53" spans="1:2">
      <c r="A53" s="7">
        <v>2016</v>
      </c>
      <c r="B53" s="7">
        <v>-0.8</v>
      </c>
    </row>
    <row r="54" spans="1:2">
      <c r="A54" s="7">
        <v>2017</v>
      </c>
      <c r="B54" s="7">
        <v>0.6</v>
      </c>
    </row>
    <row r="55" spans="1:2">
      <c r="A55" s="7">
        <v>2018</v>
      </c>
      <c r="B55" s="7">
        <v>1.3</v>
      </c>
    </row>
    <row r="56" spans="1:2">
      <c r="A56" s="7">
        <v>2019</v>
      </c>
      <c r="B56" s="7">
        <v>1.4</v>
      </c>
    </row>
    <row r="57" spans="1:2">
      <c r="A57" s="7">
        <v>2020</v>
      </c>
      <c r="B57" s="7">
        <v>-4</v>
      </c>
    </row>
    <row r="58" spans="1:2">
      <c r="A58" s="7">
        <v>2021</v>
      </c>
      <c r="B58" s="7">
        <v>-1</v>
      </c>
    </row>
    <row r="59" spans="1:2">
      <c r="A59" s="7">
        <v>2022</v>
      </c>
      <c r="B59" s="7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13">
    <outlinePr summaryBelow="0" summaryRight="0"/>
  </sheetPr>
  <dimension ref="A1:U29"/>
  <sheetViews>
    <sheetView topLeftCell="A6" workbookViewId="0">
      <selection activeCell="G29" sqref="G29"/>
    </sheetView>
  </sheetViews>
  <sheetFormatPr defaultColWidth="12.6640625" defaultRowHeight="15.75" customHeight="1"/>
  <cols>
    <col min="6" max="9" width="12.6640625" style="130"/>
  </cols>
  <sheetData>
    <row r="1" spans="1:21" ht="13.2">
      <c r="A1" s="7" t="s">
        <v>130</v>
      </c>
      <c r="B1" s="7" t="s">
        <v>116</v>
      </c>
      <c r="C1" s="7" t="s">
        <v>117</v>
      </c>
      <c r="D1" s="7" t="s">
        <v>118</v>
      </c>
      <c r="E1" s="7" t="s">
        <v>119</v>
      </c>
      <c r="F1" s="129" t="s">
        <v>239</v>
      </c>
      <c r="G1" s="129" t="s">
        <v>117</v>
      </c>
      <c r="H1" s="129" t="s">
        <v>131</v>
      </c>
      <c r="I1" s="129" t="s">
        <v>240</v>
      </c>
      <c r="J1" s="7" t="s">
        <v>120</v>
      </c>
      <c r="K1" s="7" t="s">
        <v>121</v>
      </c>
      <c r="L1" s="7" t="s">
        <v>122</v>
      </c>
      <c r="M1" s="7" t="s">
        <v>123</v>
      </c>
      <c r="N1" s="7" t="s">
        <v>124</v>
      </c>
      <c r="O1" s="7" t="s">
        <v>125</v>
      </c>
      <c r="P1" s="7" t="s">
        <v>126</v>
      </c>
      <c r="Q1" s="7" t="s">
        <v>127</v>
      </c>
      <c r="R1" s="7" t="s">
        <v>128</v>
      </c>
      <c r="T1" s="7" t="s">
        <v>129</v>
      </c>
      <c r="U1" s="7" t="s">
        <v>9</v>
      </c>
    </row>
    <row r="2" spans="1:21" ht="13.2">
      <c r="A2" s="7">
        <v>1995</v>
      </c>
      <c r="B2" s="46">
        <v>312.13</v>
      </c>
      <c r="C2" s="7">
        <v>177808</v>
      </c>
      <c r="D2" s="7">
        <f t="shared" ref="D2:D28" si="0">SUM(E2:K2,M2,P2,Q2,O2)</f>
        <v>339283</v>
      </c>
      <c r="E2" s="7">
        <v>30013</v>
      </c>
      <c r="F2" s="55">
        <v>16724</v>
      </c>
      <c r="G2" s="55">
        <f>SUM(I2:R2)</f>
        <v>161084</v>
      </c>
      <c r="H2" s="55">
        <f>SUM(I2:K2)+SUM(M2)+SUM(O2:Q2)</f>
        <v>65731</v>
      </c>
      <c r="I2" s="55">
        <f>E2-F2</f>
        <v>13289</v>
      </c>
      <c r="J2" s="7">
        <v>6100</v>
      </c>
      <c r="K2" s="7">
        <v>4644</v>
      </c>
      <c r="L2" s="7">
        <v>15669</v>
      </c>
      <c r="M2" s="7">
        <v>5381</v>
      </c>
      <c r="N2" s="7">
        <v>17976</v>
      </c>
      <c r="O2" s="7">
        <v>15381</v>
      </c>
      <c r="P2" s="7">
        <v>4031</v>
      </c>
      <c r="Q2" s="7">
        <v>16905</v>
      </c>
      <c r="R2" s="7">
        <v>61708</v>
      </c>
      <c r="T2" s="10">
        <f t="shared" ref="T2:T28" si="1">D2/(B2*1000)</f>
        <v>1.0869925992374971</v>
      </c>
    </row>
    <row r="3" spans="1:21" ht="13.2">
      <c r="A3" s="7">
        <v>1996</v>
      </c>
      <c r="B3" s="46">
        <v>326.27999999999997</v>
      </c>
      <c r="C3" s="7">
        <v>162719</v>
      </c>
      <c r="D3" s="7">
        <f t="shared" si="0"/>
        <v>325994</v>
      </c>
      <c r="E3" s="7">
        <v>29713</v>
      </c>
      <c r="F3" s="55">
        <v>16340</v>
      </c>
      <c r="G3" s="55">
        <f t="shared" ref="G3:G28" si="2">SUM(I3:R3)</f>
        <v>146379</v>
      </c>
      <c r="H3" s="55">
        <f t="shared" ref="H3:H28" si="3">SUM(I3:K3)+SUM(M3)+SUM(O3:Q3)</f>
        <v>66781</v>
      </c>
      <c r="I3" s="55">
        <f t="shared" ref="I3:I28" si="4">E3-F3</f>
        <v>13373</v>
      </c>
      <c r="J3" s="7">
        <v>6195</v>
      </c>
      <c r="K3" s="7">
        <v>4905</v>
      </c>
      <c r="L3" s="7">
        <v>16487</v>
      </c>
      <c r="M3" s="7">
        <v>5538</v>
      </c>
      <c r="N3" s="7">
        <v>1356</v>
      </c>
      <c r="O3" s="7">
        <v>15239</v>
      </c>
      <c r="P3" s="7">
        <v>4129</v>
      </c>
      <c r="Q3" s="7">
        <v>17402</v>
      </c>
      <c r="R3" s="7">
        <v>61755</v>
      </c>
      <c r="T3" s="10">
        <f t="shared" si="1"/>
        <v>0.99912345224960153</v>
      </c>
      <c r="U3" s="10">
        <f t="shared" ref="U3:U28" si="5">T3-T2</f>
        <v>-8.7869146987895608E-2</v>
      </c>
    </row>
    <row r="4" spans="1:21" ht="13.2">
      <c r="A4" s="7">
        <v>1997</v>
      </c>
      <c r="B4" s="46">
        <v>349.16</v>
      </c>
      <c r="C4" s="7">
        <v>168737</v>
      </c>
      <c r="D4" s="7">
        <f t="shared" si="0"/>
        <v>339963</v>
      </c>
      <c r="E4" s="7">
        <v>30176</v>
      </c>
      <c r="F4" s="55">
        <v>16349</v>
      </c>
      <c r="G4" s="55">
        <f t="shared" si="2"/>
        <v>152388</v>
      </c>
      <c r="H4" s="55">
        <f t="shared" si="3"/>
        <v>70525</v>
      </c>
      <c r="I4" s="55">
        <f t="shared" si="4"/>
        <v>13827</v>
      </c>
      <c r="J4" s="7">
        <v>6110</v>
      </c>
      <c r="K4" s="7">
        <v>5158</v>
      </c>
      <c r="L4" s="7">
        <v>18487</v>
      </c>
      <c r="M4" s="7">
        <v>5771</v>
      </c>
      <c r="N4" s="7">
        <v>1832</v>
      </c>
      <c r="O4" s="7">
        <v>17081</v>
      </c>
      <c r="P4" s="7">
        <v>4507</v>
      </c>
      <c r="Q4" s="7">
        <v>18071</v>
      </c>
      <c r="R4" s="7">
        <v>61544</v>
      </c>
      <c r="T4" s="10">
        <f t="shared" si="1"/>
        <v>0.973659640279528</v>
      </c>
      <c r="U4" s="10">
        <f t="shared" si="5"/>
        <v>-2.5463811970073524E-2</v>
      </c>
    </row>
    <row r="5" spans="1:21" ht="13.2">
      <c r="A5" s="7">
        <v>1998</v>
      </c>
      <c r="B5" s="46">
        <v>373.25</v>
      </c>
      <c r="C5" s="7">
        <v>175667</v>
      </c>
      <c r="D5" s="7">
        <f t="shared" si="0"/>
        <v>354123</v>
      </c>
      <c r="E5" s="7">
        <v>30990</v>
      </c>
      <c r="F5" s="55">
        <v>16482</v>
      </c>
      <c r="G5" s="55">
        <f t="shared" si="2"/>
        <v>159185</v>
      </c>
      <c r="H5" s="55">
        <f t="shared" si="3"/>
        <v>73733</v>
      </c>
      <c r="I5" s="55">
        <f t="shared" si="4"/>
        <v>14508</v>
      </c>
      <c r="J5" s="7">
        <v>6137</v>
      </c>
      <c r="K5" s="7">
        <v>5564</v>
      </c>
      <c r="L5" s="7">
        <v>20053</v>
      </c>
      <c r="M5" s="7">
        <v>5914</v>
      </c>
      <c r="N5" s="7">
        <v>2409</v>
      </c>
      <c r="O5" s="7">
        <v>17944</v>
      </c>
      <c r="P5" s="7">
        <v>4837</v>
      </c>
      <c r="Q5" s="7">
        <v>18829</v>
      </c>
      <c r="R5" s="7">
        <v>62990</v>
      </c>
      <c r="T5" s="10">
        <f t="shared" si="1"/>
        <v>0.94875552578700606</v>
      </c>
      <c r="U5" s="10">
        <f t="shared" si="5"/>
        <v>-2.4904114492521945E-2</v>
      </c>
    </row>
    <row r="6" spans="1:21" ht="13.2">
      <c r="A6" s="7">
        <v>1999</v>
      </c>
      <c r="B6" s="46">
        <v>397.01</v>
      </c>
      <c r="C6" s="7">
        <v>182890</v>
      </c>
      <c r="D6" s="7">
        <f t="shared" si="0"/>
        <v>371643</v>
      </c>
      <c r="E6" s="7">
        <v>31505</v>
      </c>
      <c r="F6" s="55">
        <v>16297</v>
      </c>
      <c r="G6" s="55">
        <f t="shared" si="2"/>
        <v>166593</v>
      </c>
      <c r="H6" s="55">
        <f t="shared" si="3"/>
        <v>78624</v>
      </c>
      <c r="I6" s="55">
        <f t="shared" si="4"/>
        <v>15208</v>
      </c>
      <c r="J6" s="7">
        <v>6812</v>
      </c>
      <c r="K6" s="7">
        <v>5989</v>
      </c>
      <c r="L6" s="7">
        <v>21205</v>
      </c>
      <c r="M6" s="7">
        <v>6199</v>
      </c>
      <c r="N6" s="7">
        <v>2280</v>
      </c>
      <c r="O6" s="7">
        <v>18965</v>
      </c>
      <c r="P6" s="7">
        <v>5295</v>
      </c>
      <c r="Q6" s="7">
        <v>20156</v>
      </c>
      <c r="R6" s="7">
        <v>64484</v>
      </c>
      <c r="T6" s="10">
        <f t="shared" si="1"/>
        <v>0.93610488400795955</v>
      </c>
      <c r="U6" s="10">
        <f t="shared" si="5"/>
        <v>-1.2650641779046512E-2</v>
      </c>
    </row>
    <row r="7" spans="1:21" ht="13.2">
      <c r="A7" s="7">
        <v>2000</v>
      </c>
      <c r="B7" s="46">
        <v>427.75</v>
      </c>
      <c r="C7" s="7">
        <v>191530</v>
      </c>
      <c r="D7" s="7">
        <f t="shared" si="0"/>
        <v>393047</v>
      </c>
      <c r="E7" s="7">
        <v>31865</v>
      </c>
      <c r="F7" s="55">
        <v>14889</v>
      </c>
      <c r="G7" s="55">
        <f t="shared" si="2"/>
        <v>176641</v>
      </c>
      <c r="H7" s="55">
        <f t="shared" si="3"/>
        <v>84826</v>
      </c>
      <c r="I7" s="55">
        <f t="shared" si="4"/>
        <v>16976</v>
      </c>
      <c r="J7" s="7">
        <v>6607</v>
      </c>
      <c r="K7" s="7">
        <v>6712</v>
      </c>
      <c r="L7" s="7">
        <v>22377</v>
      </c>
      <c r="M7" s="7">
        <v>6777</v>
      </c>
      <c r="N7" s="7">
        <v>2587</v>
      </c>
      <c r="O7" s="7">
        <v>20930</v>
      </c>
      <c r="P7" s="7">
        <v>5835</v>
      </c>
      <c r="Q7" s="7">
        <v>20989</v>
      </c>
      <c r="R7" s="7">
        <v>66851</v>
      </c>
      <c r="T7" s="10">
        <f t="shared" si="1"/>
        <v>0.91887083576855644</v>
      </c>
      <c r="U7" s="10">
        <f t="shared" si="5"/>
        <v>-1.723404823940311E-2</v>
      </c>
    </row>
    <row r="8" spans="1:21" ht="13.2">
      <c r="A8" s="7">
        <v>2001</v>
      </c>
      <c r="B8" s="46">
        <v>455.96</v>
      </c>
      <c r="C8" s="7">
        <v>207640</v>
      </c>
      <c r="D8" s="7">
        <f t="shared" si="0"/>
        <v>425223</v>
      </c>
      <c r="E8" s="7">
        <v>32467</v>
      </c>
      <c r="F8" s="55">
        <v>13889</v>
      </c>
      <c r="G8" s="55">
        <f t="shared" si="2"/>
        <v>193751</v>
      </c>
      <c r="H8" s="55">
        <f t="shared" si="3"/>
        <v>92558</v>
      </c>
      <c r="I8" s="55">
        <f t="shared" si="4"/>
        <v>18578</v>
      </c>
      <c r="J8" s="7">
        <v>7155</v>
      </c>
      <c r="K8" s="7">
        <v>7574</v>
      </c>
      <c r="L8" s="7">
        <v>26096</v>
      </c>
      <c r="M8" s="7">
        <v>7089</v>
      </c>
      <c r="N8" s="7">
        <v>3403</v>
      </c>
      <c r="O8" s="7">
        <v>22997</v>
      </c>
      <c r="P8" s="7">
        <v>6923</v>
      </c>
      <c r="Q8" s="7">
        <v>22242</v>
      </c>
      <c r="R8" s="7">
        <v>71694</v>
      </c>
      <c r="T8" s="10">
        <f t="shared" si="1"/>
        <v>0.9325883849460479</v>
      </c>
      <c r="U8" s="10">
        <f t="shared" si="5"/>
        <v>1.3717549177491462E-2</v>
      </c>
    </row>
    <row r="9" spans="1:21" ht="13.2">
      <c r="A9" s="7">
        <v>2002</v>
      </c>
      <c r="B9" s="46">
        <v>474.24</v>
      </c>
      <c r="C9" s="7">
        <v>218881</v>
      </c>
      <c r="D9" s="7">
        <f t="shared" si="0"/>
        <v>450107</v>
      </c>
      <c r="E9" s="7">
        <v>31874</v>
      </c>
      <c r="F9" s="55">
        <v>12884</v>
      </c>
      <c r="G9" s="55">
        <f t="shared" si="2"/>
        <v>205997</v>
      </c>
      <c r="H9" s="55">
        <f t="shared" si="3"/>
        <v>99676</v>
      </c>
      <c r="I9" s="55">
        <f t="shared" si="4"/>
        <v>18990</v>
      </c>
      <c r="J9" s="7">
        <v>7145</v>
      </c>
      <c r="K9" s="7">
        <v>8357</v>
      </c>
      <c r="L9" s="7">
        <v>26559</v>
      </c>
      <c r="M9" s="7">
        <v>7868</v>
      </c>
      <c r="N9" s="7">
        <v>3714</v>
      </c>
      <c r="O9" s="7">
        <v>25799</v>
      </c>
      <c r="P9" s="7">
        <v>7407</v>
      </c>
      <c r="Q9" s="7">
        <v>24110</v>
      </c>
      <c r="R9" s="7">
        <v>76048</v>
      </c>
      <c r="T9" s="10">
        <f t="shared" si="1"/>
        <v>0.94911226383265856</v>
      </c>
      <c r="U9" s="10">
        <f t="shared" si="5"/>
        <v>1.6523878886610666E-2</v>
      </c>
    </row>
    <row r="10" spans="1:21" ht="13.2">
      <c r="A10" s="7">
        <v>2003</v>
      </c>
      <c r="B10" s="46">
        <v>485.64</v>
      </c>
      <c r="C10" s="7">
        <v>229208</v>
      </c>
      <c r="D10" s="7">
        <f t="shared" si="0"/>
        <v>471448</v>
      </c>
      <c r="E10" s="7">
        <v>31576</v>
      </c>
      <c r="F10" s="55">
        <v>12161</v>
      </c>
      <c r="G10" s="55">
        <f t="shared" si="2"/>
        <v>217047</v>
      </c>
      <c r="H10" s="55">
        <f t="shared" si="3"/>
        <v>105332</v>
      </c>
      <c r="I10" s="55">
        <f t="shared" si="4"/>
        <v>19415</v>
      </c>
      <c r="J10" s="7">
        <v>7250</v>
      </c>
      <c r="K10" s="7">
        <v>8977</v>
      </c>
      <c r="L10" s="7">
        <v>26951</v>
      </c>
      <c r="M10" s="7">
        <v>8368</v>
      </c>
      <c r="N10" s="7">
        <v>4370</v>
      </c>
      <c r="O10" s="7">
        <v>27647</v>
      </c>
      <c r="P10" s="7">
        <v>7568</v>
      </c>
      <c r="Q10" s="7">
        <v>26107</v>
      </c>
      <c r="R10" s="7">
        <v>80394</v>
      </c>
      <c r="T10" s="10">
        <f t="shared" si="1"/>
        <v>0.97077670702578045</v>
      </c>
      <c r="U10" s="10">
        <f t="shared" si="5"/>
        <v>2.1664443193121885E-2</v>
      </c>
    </row>
    <row r="11" spans="1:21" ht="13.2">
      <c r="A11" s="7">
        <v>2004</v>
      </c>
      <c r="B11" s="46">
        <v>501.3</v>
      </c>
      <c r="C11" s="7">
        <v>231037</v>
      </c>
      <c r="D11" s="7">
        <f t="shared" si="0"/>
        <v>478252</v>
      </c>
      <c r="E11" s="7">
        <v>31837</v>
      </c>
      <c r="F11" s="55">
        <v>12290</v>
      </c>
      <c r="G11" s="55">
        <f t="shared" si="2"/>
        <v>218747</v>
      </c>
      <c r="H11" s="55">
        <f t="shared" si="3"/>
        <v>107689</v>
      </c>
      <c r="I11" s="55">
        <f t="shared" si="4"/>
        <v>19547</v>
      </c>
      <c r="J11" s="7">
        <v>7263</v>
      </c>
      <c r="K11" s="7">
        <v>9262</v>
      </c>
      <c r="L11" s="7">
        <v>26000</v>
      </c>
      <c r="M11" s="7">
        <v>8551</v>
      </c>
      <c r="N11" s="7">
        <v>2862</v>
      </c>
      <c r="O11" s="7">
        <v>28384</v>
      </c>
      <c r="P11" s="7">
        <v>7600</v>
      </c>
      <c r="Q11" s="7">
        <v>27082</v>
      </c>
      <c r="R11" s="7">
        <v>82196</v>
      </c>
      <c r="T11" s="10">
        <f t="shared" si="1"/>
        <v>0.95402353879912227</v>
      </c>
      <c r="U11" s="10">
        <f t="shared" si="5"/>
        <v>-1.6753168226658177E-2</v>
      </c>
    </row>
    <row r="12" spans="1:21" ht="13.2">
      <c r="A12" s="7">
        <v>2005</v>
      </c>
      <c r="B12" s="46">
        <v>522.05999999999995</v>
      </c>
      <c r="C12" s="7">
        <v>234593</v>
      </c>
      <c r="D12" s="7">
        <f t="shared" si="0"/>
        <v>489689</v>
      </c>
      <c r="E12" s="7">
        <v>32566</v>
      </c>
      <c r="F12" s="55">
        <v>11953</v>
      </c>
      <c r="G12" s="55">
        <f t="shared" si="2"/>
        <v>222640</v>
      </c>
      <c r="H12" s="55">
        <f t="shared" si="3"/>
        <v>111265</v>
      </c>
      <c r="I12" s="55">
        <f t="shared" si="4"/>
        <v>20613</v>
      </c>
      <c r="J12" s="7">
        <v>6710</v>
      </c>
      <c r="K12" s="7">
        <v>9497</v>
      </c>
      <c r="L12" s="7">
        <v>25812</v>
      </c>
      <c r="M12" s="7">
        <v>8689</v>
      </c>
      <c r="N12" s="7">
        <v>2327</v>
      </c>
      <c r="O12" s="7">
        <v>29540</v>
      </c>
      <c r="P12" s="7">
        <v>7749</v>
      </c>
      <c r="Q12" s="7">
        <v>28467</v>
      </c>
      <c r="R12" s="7">
        <v>83236</v>
      </c>
      <c r="T12" s="10">
        <f t="shared" si="1"/>
        <v>0.9379937171972571</v>
      </c>
      <c r="U12" s="10">
        <f t="shared" si="5"/>
        <v>-1.6029821601865168E-2</v>
      </c>
    </row>
    <row r="13" spans="1:21" ht="13.2">
      <c r="A13" s="7">
        <v>2006</v>
      </c>
      <c r="B13" s="46">
        <v>554.38</v>
      </c>
      <c r="C13" s="7">
        <v>253629</v>
      </c>
      <c r="D13" s="7">
        <f t="shared" si="0"/>
        <v>539944</v>
      </c>
      <c r="E13" s="7">
        <v>33691</v>
      </c>
      <c r="F13" s="55">
        <v>11775</v>
      </c>
      <c r="G13" s="55">
        <f t="shared" si="2"/>
        <v>241854</v>
      </c>
      <c r="H13" s="55">
        <f t="shared" si="3"/>
        <v>126312</v>
      </c>
      <c r="I13" s="55">
        <f t="shared" si="4"/>
        <v>21916</v>
      </c>
      <c r="J13" s="7">
        <v>7424</v>
      </c>
      <c r="K13" s="7">
        <v>10324</v>
      </c>
      <c r="L13" s="7">
        <v>26787</v>
      </c>
      <c r="M13" s="7">
        <v>9219</v>
      </c>
      <c r="N13" s="7">
        <v>2655</v>
      </c>
      <c r="O13" s="7">
        <v>38846</v>
      </c>
      <c r="P13" s="7">
        <v>8203</v>
      </c>
      <c r="Q13" s="7">
        <v>30380</v>
      </c>
      <c r="R13" s="7">
        <v>86100</v>
      </c>
      <c r="T13" s="10">
        <f t="shared" si="1"/>
        <v>0.97396009957069163</v>
      </c>
      <c r="U13" s="10">
        <f t="shared" si="5"/>
        <v>3.5966382373434524E-2</v>
      </c>
    </row>
    <row r="14" spans="1:21" ht="13.2">
      <c r="A14" s="7">
        <v>2007</v>
      </c>
      <c r="B14" s="46">
        <v>587.53</v>
      </c>
      <c r="C14" s="7">
        <v>264371</v>
      </c>
      <c r="D14" s="7">
        <f t="shared" si="0"/>
        <v>562699</v>
      </c>
      <c r="E14" s="7">
        <v>33954</v>
      </c>
      <c r="F14" s="55">
        <v>12176</v>
      </c>
      <c r="G14" s="55">
        <f t="shared" si="2"/>
        <v>252195</v>
      </c>
      <c r="H14" s="55">
        <f t="shared" si="3"/>
        <v>132187</v>
      </c>
      <c r="I14" s="55">
        <f t="shared" si="4"/>
        <v>21778</v>
      </c>
      <c r="J14" s="7">
        <v>7879</v>
      </c>
      <c r="K14" s="7">
        <v>11238</v>
      </c>
      <c r="L14" s="7">
        <v>27625</v>
      </c>
      <c r="M14" s="7">
        <v>9671</v>
      </c>
      <c r="N14" s="7">
        <v>2866</v>
      </c>
      <c r="O14" s="7">
        <v>41596</v>
      </c>
      <c r="P14" s="7">
        <v>8194</v>
      </c>
      <c r="Q14" s="7">
        <v>31831</v>
      </c>
      <c r="R14" s="7">
        <v>89517</v>
      </c>
      <c r="T14" s="10">
        <f t="shared" si="1"/>
        <v>0.95773662621483158</v>
      </c>
      <c r="U14" s="10">
        <f t="shared" si="5"/>
        <v>-1.6223473355860052E-2</v>
      </c>
    </row>
    <row r="15" spans="1:21" ht="13.2">
      <c r="A15" s="7">
        <v>2008</v>
      </c>
      <c r="B15" s="46">
        <v>614.27</v>
      </c>
      <c r="C15" s="7">
        <v>281277</v>
      </c>
      <c r="D15" s="7">
        <f t="shared" si="0"/>
        <v>596437</v>
      </c>
      <c r="E15" s="7">
        <v>36750</v>
      </c>
      <c r="F15" s="55">
        <v>13216</v>
      </c>
      <c r="G15" s="55">
        <f t="shared" si="2"/>
        <v>268061</v>
      </c>
      <c r="H15" s="55">
        <f t="shared" si="3"/>
        <v>139205</v>
      </c>
      <c r="I15" s="55">
        <f t="shared" si="4"/>
        <v>23534</v>
      </c>
      <c r="J15" s="7">
        <v>8086</v>
      </c>
      <c r="K15" s="7">
        <v>11862</v>
      </c>
      <c r="L15" s="7">
        <v>29738</v>
      </c>
      <c r="M15" s="7">
        <v>10196</v>
      </c>
      <c r="N15" s="7">
        <v>3520</v>
      </c>
      <c r="O15" s="7">
        <v>42396</v>
      </c>
      <c r="P15" s="7">
        <v>9233</v>
      </c>
      <c r="Q15" s="7">
        <v>33898</v>
      </c>
      <c r="R15" s="7">
        <v>95598</v>
      </c>
      <c r="T15" s="10">
        <f t="shared" si="1"/>
        <v>0.97096879222491739</v>
      </c>
      <c r="U15" s="10">
        <f t="shared" si="5"/>
        <v>1.3232166010085811E-2</v>
      </c>
    </row>
    <row r="16" spans="1:21" ht="13.2">
      <c r="A16" s="7">
        <v>2009</v>
      </c>
      <c r="B16" s="46">
        <v>592.72</v>
      </c>
      <c r="C16" s="7">
        <v>299259</v>
      </c>
      <c r="D16" s="7">
        <f t="shared" si="0"/>
        <v>623553</v>
      </c>
      <c r="E16" s="7">
        <v>34364</v>
      </c>
      <c r="F16" s="55">
        <v>12709</v>
      </c>
      <c r="G16" s="55">
        <f t="shared" si="2"/>
        <v>286550</v>
      </c>
      <c r="H16" s="55">
        <f t="shared" si="3"/>
        <v>144965</v>
      </c>
      <c r="I16" s="55">
        <f t="shared" si="4"/>
        <v>21655</v>
      </c>
      <c r="J16" s="7">
        <v>8529</v>
      </c>
      <c r="K16" s="7">
        <v>12561</v>
      </c>
      <c r="L16" s="7">
        <v>34364</v>
      </c>
      <c r="M16" s="7">
        <v>10874</v>
      </c>
      <c r="N16" s="7">
        <v>4612</v>
      </c>
      <c r="O16" s="7">
        <v>46330</v>
      </c>
      <c r="P16" s="7">
        <v>9764</v>
      </c>
      <c r="Q16" s="7">
        <v>35252</v>
      </c>
      <c r="R16" s="7">
        <v>102609</v>
      </c>
      <c r="T16" s="10">
        <f t="shared" si="1"/>
        <v>1.052019503306789</v>
      </c>
      <c r="U16" s="10">
        <f t="shared" si="5"/>
        <v>8.1050711081871563E-2</v>
      </c>
    </row>
    <row r="17" spans="1:21" ht="13.2">
      <c r="A17" s="7">
        <v>2010</v>
      </c>
      <c r="B17" s="46">
        <v>605.83000000000004</v>
      </c>
      <c r="C17" s="7">
        <v>307878</v>
      </c>
      <c r="D17" s="7">
        <f t="shared" si="0"/>
        <v>646452</v>
      </c>
      <c r="E17" s="7">
        <v>36266</v>
      </c>
      <c r="F17" s="55">
        <v>11397</v>
      </c>
      <c r="G17" s="55">
        <f t="shared" si="2"/>
        <v>296481</v>
      </c>
      <c r="H17" s="55">
        <f t="shared" si="3"/>
        <v>151154</v>
      </c>
      <c r="I17" s="55">
        <f t="shared" si="4"/>
        <v>24869</v>
      </c>
      <c r="J17" s="7">
        <v>8126</v>
      </c>
      <c r="K17" s="7">
        <v>12430</v>
      </c>
      <c r="L17" s="7">
        <v>33851</v>
      </c>
      <c r="M17" s="7">
        <v>10425</v>
      </c>
      <c r="N17" s="7">
        <v>4191</v>
      </c>
      <c r="O17" s="7">
        <v>49574</v>
      </c>
      <c r="P17" s="7">
        <v>9704</v>
      </c>
      <c r="Q17" s="7">
        <v>36026</v>
      </c>
      <c r="R17" s="7">
        <v>107285</v>
      </c>
      <c r="T17" s="10">
        <f t="shared" si="1"/>
        <v>1.0670518132149283</v>
      </c>
      <c r="U17" s="10">
        <f t="shared" si="5"/>
        <v>1.5032309908139307E-2</v>
      </c>
    </row>
    <row r="18" spans="1:21" ht="13.2">
      <c r="A18" s="7">
        <v>2011</v>
      </c>
      <c r="B18" s="46">
        <v>616.76</v>
      </c>
      <c r="C18" s="7">
        <v>306631</v>
      </c>
      <c r="D18" s="7">
        <f t="shared" si="0"/>
        <v>641806</v>
      </c>
      <c r="E18" s="7">
        <v>34631</v>
      </c>
      <c r="F18" s="55">
        <v>11649</v>
      </c>
      <c r="G18" s="55">
        <f t="shared" si="2"/>
        <v>294982</v>
      </c>
      <c r="H18" s="55">
        <f t="shared" si="3"/>
        <v>150272</v>
      </c>
      <c r="I18" s="55">
        <f t="shared" si="4"/>
        <v>22982</v>
      </c>
      <c r="J18" s="7">
        <v>8108</v>
      </c>
      <c r="K18" s="7">
        <v>12357</v>
      </c>
      <c r="L18" s="7">
        <v>32126</v>
      </c>
      <c r="M18" s="7">
        <v>10327</v>
      </c>
      <c r="N18" s="7">
        <v>3395</v>
      </c>
      <c r="O18" s="7">
        <v>51252</v>
      </c>
      <c r="P18" s="7">
        <v>9431</v>
      </c>
      <c r="Q18" s="7">
        <v>35815</v>
      </c>
      <c r="R18" s="7">
        <v>109189</v>
      </c>
      <c r="T18" s="10">
        <f t="shared" si="1"/>
        <v>1.0406089889097867</v>
      </c>
      <c r="U18" s="10">
        <f t="shared" si="5"/>
        <v>-2.6442824305141555E-2</v>
      </c>
    </row>
    <row r="19" spans="1:21" ht="13.2">
      <c r="A19" s="7">
        <v>2012</v>
      </c>
      <c r="B19" s="46">
        <v>619.14</v>
      </c>
      <c r="C19" s="7">
        <v>307043</v>
      </c>
      <c r="D19" s="7">
        <f t="shared" si="0"/>
        <v>643722</v>
      </c>
      <c r="E19" s="7">
        <v>33965</v>
      </c>
      <c r="F19" s="55">
        <v>10954</v>
      </c>
      <c r="G19" s="55">
        <f t="shared" si="2"/>
        <v>296089</v>
      </c>
      <c r="H19" s="55">
        <f t="shared" si="3"/>
        <v>151357</v>
      </c>
      <c r="I19" s="55">
        <f t="shared" si="4"/>
        <v>23011</v>
      </c>
      <c r="J19" s="7">
        <v>7475</v>
      </c>
      <c r="K19" s="7">
        <v>12549</v>
      </c>
      <c r="L19" s="7">
        <v>30195</v>
      </c>
      <c r="M19" s="7">
        <v>10097</v>
      </c>
      <c r="N19" s="7">
        <v>3627</v>
      </c>
      <c r="O19" s="7">
        <v>53083</v>
      </c>
      <c r="P19" s="7">
        <v>9103</v>
      </c>
      <c r="Q19" s="7">
        <v>36039</v>
      </c>
      <c r="R19" s="7">
        <v>110910</v>
      </c>
      <c r="T19" s="10">
        <f t="shared" si="1"/>
        <v>1.0397034596375618</v>
      </c>
      <c r="U19" s="10">
        <f t="shared" si="5"/>
        <v>-9.0552927222486979E-4</v>
      </c>
    </row>
    <row r="20" spans="1:21" ht="13.2">
      <c r="A20" s="7">
        <v>2013</v>
      </c>
      <c r="B20" s="46">
        <v>626.55999999999995</v>
      </c>
      <c r="C20" s="7">
        <v>309368</v>
      </c>
      <c r="D20" s="7">
        <f t="shared" si="0"/>
        <v>646970</v>
      </c>
      <c r="E20" s="7">
        <v>33822</v>
      </c>
      <c r="F20" s="55">
        <v>10295</v>
      </c>
      <c r="G20" s="55">
        <f t="shared" si="2"/>
        <v>299073</v>
      </c>
      <c r="H20" s="55">
        <f t="shared" si="3"/>
        <v>151890</v>
      </c>
      <c r="I20" s="55">
        <f t="shared" si="4"/>
        <v>23527</v>
      </c>
      <c r="J20" s="7">
        <v>7503</v>
      </c>
      <c r="K20" s="7">
        <v>12968</v>
      </c>
      <c r="L20" s="7">
        <v>29951</v>
      </c>
      <c r="M20" s="7">
        <v>10138</v>
      </c>
      <c r="N20" s="7">
        <v>3699</v>
      </c>
      <c r="O20" s="7">
        <v>53053</v>
      </c>
      <c r="P20" s="7">
        <v>8933</v>
      </c>
      <c r="Q20" s="7">
        <v>35768</v>
      </c>
      <c r="R20" s="7">
        <v>113533</v>
      </c>
      <c r="T20" s="10">
        <f t="shared" si="1"/>
        <v>1.0325746935648621</v>
      </c>
      <c r="U20" s="10">
        <f t="shared" si="5"/>
        <v>-7.1287660726997437E-3</v>
      </c>
    </row>
    <row r="21" spans="1:21" ht="13.2">
      <c r="A21" s="7">
        <v>2014</v>
      </c>
      <c r="B21" s="46">
        <v>637.24</v>
      </c>
      <c r="C21" s="7">
        <v>309489</v>
      </c>
      <c r="D21" s="7">
        <f t="shared" si="0"/>
        <v>649232</v>
      </c>
      <c r="E21" s="7">
        <v>34605</v>
      </c>
      <c r="F21" s="55">
        <v>9857</v>
      </c>
      <c r="G21" s="55">
        <f t="shared" si="2"/>
        <v>299632</v>
      </c>
      <c r="H21" s="55">
        <f t="shared" si="3"/>
        <v>152569</v>
      </c>
      <c r="I21" s="55">
        <f t="shared" si="4"/>
        <v>24748</v>
      </c>
      <c r="J21" s="7">
        <v>7288</v>
      </c>
      <c r="K21" s="7">
        <v>12548</v>
      </c>
      <c r="L21" s="7">
        <v>29188</v>
      </c>
      <c r="M21" s="7">
        <v>9559</v>
      </c>
      <c r="N21" s="7">
        <v>3418</v>
      </c>
      <c r="O21" s="7">
        <v>53474</v>
      </c>
      <c r="P21" s="7">
        <v>8442</v>
      </c>
      <c r="Q21" s="7">
        <v>36510</v>
      </c>
      <c r="R21" s="7">
        <v>114457</v>
      </c>
      <c r="T21" s="10">
        <f t="shared" si="1"/>
        <v>1.0188186554516352</v>
      </c>
      <c r="U21" s="10">
        <f t="shared" si="5"/>
        <v>-1.3756038113226898E-2</v>
      </c>
    </row>
    <row r="22" spans="1:21" ht="13.2">
      <c r="A22" s="7">
        <v>2015</v>
      </c>
      <c r="B22" s="46">
        <v>655.17999999999995</v>
      </c>
      <c r="C22" s="7">
        <v>309465</v>
      </c>
      <c r="D22" s="7">
        <f t="shared" si="0"/>
        <v>650527</v>
      </c>
      <c r="E22" s="7">
        <v>33814</v>
      </c>
      <c r="F22" s="55">
        <v>8980</v>
      </c>
      <c r="G22" s="55">
        <f t="shared" si="2"/>
        <v>300485</v>
      </c>
      <c r="H22" s="55">
        <f t="shared" si="3"/>
        <v>153624</v>
      </c>
      <c r="I22" s="55">
        <f t="shared" si="4"/>
        <v>24834</v>
      </c>
      <c r="J22" s="7">
        <v>7708</v>
      </c>
      <c r="K22" s="7">
        <v>13030</v>
      </c>
      <c r="L22" s="7">
        <v>27310</v>
      </c>
      <c r="M22" s="7">
        <v>9320</v>
      </c>
      <c r="N22" s="7">
        <v>3292</v>
      </c>
      <c r="O22" s="7">
        <v>53267</v>
      </c>
      <c r="P22" s="7">
        <v>8886</v>
      </c>
      <c r="Q22" s="7">
        <v>36579</v>
      </c>
      <c r="R22" s="7">
        <v>116259</v>
      </c>
      <c r="T22" s="10">
        <f t="shared" si="1"/>
        <v>0.9928981348637016</v>
      </c>
      <c r="U22" s="10">
        <f t="shared" si="5"/>
        <v>-2.5920520587933593E-2</v>
      </c>
    </row>
    <row r="23" spans="1:21" ht="13.2">
      <c r="A23" s="7">
        <v>2016</v>
      </c>
      <c r="B23" s="46">
        <v>672.94</v>
      </c>
      <c r="C23" s="7">
        <v>309167</v>
      </c>
      <c r="D23" s="7">
        <f t="shared" si="0"/>
        <v>642270</v>
      </c>
      <c r="E23" s="7">
        <v>30483</v>
      </c>
      <c r="F23" s="55">
        <v>8151</v>
      </c>
      <c r="G23" s="55">
        <f t="shared" si="2"/>
        <v>301016</v>
      </c>
      <c r="H23" s="55">
        <f t="shared" si="3"/>
        <v>151310</v>
      </c>
      <c r="I23" s="55">
        <f t="shared" si="4"/>
        <v>22332</v>
      </c>
      <c r="J23" s="7">
        <v>8015</v>
      </c>
      <c r="K23" s="7">
        <v>13341</v>
      </c>
      <c r="L23" s="7">
        <v>27666</v>
      </c>
      <c r="M23" s="7">
        <v>9827</v>
      </c>
      <c r="N23" s="7">
        <v>2960</v>
      </c>
      <c r="O23" s="7">
        <v>51352</v>
      </c>
      <c r="P23" s="7">
        <v>9065</v>
      </c>
      <c r="Q23" s="7">
        <v>37378</v>
      </c>
      <c r="R23" s="7">
        <v>119080</v>
      </c>
      <c r="T23" s="10">
        <f t="shared" si="1"/>
        <v>0.95442387137040452</v>
      </c>
      <c r="U23" s="10">
        <f t="shared" si="5"/>
        <v>-3.8474263493297078E-2</v>
      </c>
    </row>
    <row r="24" spans="1:21" ht="13.2">
      <c r="A24" s="7">
        <v>2017</v>
      </c>
      <c r="B24" s="46">
        <v>701.46</v>
      </c>
      <c r="C24" s="7">
        <v>313410</v>
      </c>
      <c r="D24" s="7">
        <f t="shared" si="0"/>
        <v>653124</v>
      </c>
      <c r="E24" s="7">
        <v>29742</v>
      </c>
      <c r="F24" s="55">
        <v>7396</v>
      </c>
      <c r="G24" s="55">
        <f t="shared" si="2"/>
        <v>306014</v>
      </c>
      <c r="H24" s="55">
        <f t="shared" si="3"/>
        <v>154986</v>
      </c>
      <c r="I24" s="55">
        <f t="shared" si="4"/>
        <v>22346</v>
      </c>
      <c r="J24" s="7">
        <v>8531</v>
      </c>
      <c r="K24" s="7">
        <v>13250</v>
      </c>
      <c r="L24" s="7">
        <v>27902</v>
      </c>
      <c r="M24" s="7">
        <v>9973</v>
      </c>
      <c r="N24" s="7">
        <v>2752</v>
      </c>
      <c r="O24" s="7">
        <v>53792</v>
      </c>
      <c r="P24" s="7">
        <v>9248</v>
      </c>
      <c r="Q24" s="7">
        <v>37846</v>
      </c>
      <c r="R24" s="7">
        <v>120374</v>
      </c>
      <c r="T24" s="10">
        <f t="shared" si="1"/>
        <v>0.93109229321700449</v>
      </c>
      <c r="U24" s="10">
        <f t="shared" si="5"/>
        <v>-2.3331578153400034E-2</v>
      </c>
    </row>
    <row r="25" spans="1:21" ht="13.2">
      <c r="A25" s="7">
        <v>2018</v>
      </c>
      <c r="B25" s="46">
        <v>735.53</v>
      </c>
      <c r="C25" s="7">
        <v>327239</v>
      </c>
      <c r="D25" s="7">
        <f t="shared" si="0"/>
        <v>686860</v>
      </c>
      <c r="E25" s="7">
        <v>31293</v>
      </c>
      <c r="F25" s="55">
        <v>6933</v>
      </c>
      <c r="G25" s="55">
        <f t="shared" si="2"/>
        <v>320306</v>
      </c>
      <c r="H25" s="55">
        <f t="shared" si="3"/>
        <v>164164</v>
      </c>
      <c r="I25" s="55">
        <f t="shared" si="4"/>
        <v>24360</v>
      </c>
      <c r="J25" s="7">
        <v>9074</v>
      </c>
      <c r="K25" s="7">
        <v>14205</v>
      </c>
      <c r="L25" s="7">
        <v>29420</v>
      </c>
      <c r="M25" s="7">
        <v>10649</v>
      </c>
      <c r="N25" s="7">
        <v>3456</v>
      </c>
      <c r="O25" s="7">
        <v>56857</v>
      </c>
      <c r="P25" s="7">
        <v>9881</v>
      </c>
      <c r="Q25" s="7">
        <v>39138</v>
      </c>
      <c r="R25" s="7">
        <v>123266</v>
      </c>
      <c r="T25" s="10">
        <f t="shared" si="1"/>
        <v>0.93383002732723341</v>
      </c>
      <c r="U25" s="10">
        <f t="shared" si="5"/>
        <v>2.7377341102289288E-3</v>
      </c>
    </row>
    <row r="26" spans="1:21" ht="13.2">
      <c r="A26" s="7">
        <v>2019</v>
      </c>
      <c r="B26" s="46">
        <v>772.75</v>
      </c>
      <c r="C26" s="7">
        <v>342493</v>
      </c>
      <c r="D26" s="7">
        <f t="shared" si="0"/>
        <v>719794</v>
      </c>
      <c r="E26" s="7">
        <v>32307</v>
      </c>
      <c r="F26" s="55">
        <v>6231</v>
      </c>
      <c r="G26" s="55">
        <f t="shared" si="2"/>
        <v>336262</v>
      </c>
      <c r="H26" s="55">
        <f t="shared" si="3"/>
        <v>172497</v>
      </c>
      <c r="I26" s="55">
        <f t="shared" si="4"/>
        <v>26076</v>
      </c>
      <c r="J26" s="7">
        <v>10000</v>
      </c>
      <c r="K26" s="7">
        <v>15012</v>
      </c>
      <c r="L26" s="7">
        <v>31241</v>
      </c>
      <c r="M26" s="7">
        <v>11106</v>
      </c>
      <c r="N26" s="7">
        <v>3635</v>
      </c>
      <c r="O26" s="7">
        <v>59837</v>
      </c>
      <c r="P26" s="7">
        <v>9927</v>
      </c>
      <c r="Q26" s="7">
        <v>40539</v>
      </c>
      <c r="R26" s="7">
        <v>128889</v>
      </c>
      <c r="T26" s="10">
        <f t="shared" si="1"/>
        <v>0.93147072144936915</v>
      </c>
      <c r="U26" s="10">
        <f t="shared" si="5"/>
        <v>-2.3593058778642595E-3</v>
      </c>
    </row>
    <row r="27" spans="1:21" ht="13.2">
      <c r="A27" s="7">
        <v>2020</v>
      </c>
      <c r="B27" s="46">
        <f>B26*(1+'CPB Data'!C51)</f>
        <v>756.75407499999994</v>
      </c>
      <c r="C27" s="7">
        <v>380991</v>
      </c>
      <c r="D27" s="7">
        <f t="shared" si="0"/>
        <v>783614</v>
      </c>
      <c r="E27" s="7">
        <v>33119</v>
      </c>
      <c r="F27" s="55">
        <v>5432</v>
      </c>
      <c r="G27" s="55">
        <f t="shared" si="2"/>
        <v>375559</v>
      </c>
      <c r="H27" s="55">
        <f t="shared" si="3"/>
        <v>184752</v>
      </c>
      <c r="I27" s="55">
        <f t="shared" si="4"/>
        <v>27687</v>
      </c>
      <c r="J27" s="7">
        <v>10718</v>
      </c>
      <c r="K27" s="7">
        <v>16051</v>
      </c>
      <c r="L27" s="7">
        <v>49856</v>
      </c>
      <c r="M27" s="7">
        <v>11838</v>
      </c>
      <c r="N27" s="7">
        <v>3765</v>
      </c>
      <c r="O27" s="7">
        <v>66413</v>
      </c>
      <c r="P27" s="7">
        <v>10344</v>
      </c>
      <c r="Q27" s="7">
        <v>41701</v>
      </c>
      <c r="R27" s="7">
        <v>137186</v>
      </c>
      <c r="T27" s="10">
        <f t="shared" si="1"/>
        <v>1.0354935981018669</v>
      </c>
      <c r="U27" s="10">
        <f t="shared" si="5"/>
        <v>0.10402287665249776</v>
      </c>
    </row>
    <row r="28" spans="1:21" ht="13.2">
      <c r="A28" s="7">
        <v>2021</v>
      </c>
      <c r="B28" s="46">
        <f>B27*(1+'CPB Data'!C52)</f>
        <v>813.66198143999986</v>
      </c>
      <c r="C28" s="7">
        <v>399073</v>
      </c>
      <c r="D28" s="7">
        <f t="shared" si="0"/>
        <v>827691</v>
      </c>
      <c r="E28" s="7">
        <v>33424</v>
      </c>
      <c r="F28" s="55">
        <v>4857</v>
      </c>
      <c r="G28" s="55">
        <f t="shared" si="2"/>
        <v>394216</v>
      </c>
      <c r="H28" s="55">
        <f t="shared" si="3"/>
        <v>197597</v>
      </c>
      <c r="I28" s="55">
        <f t="shared" si="4"/>
        <v>28567</v>
      </c>
      <c r="J28" s="7">
        <v>11132</v>
      </c>
      <c r="K28" s="7">
        <v>16737</v>
      </c>
      <c r="L28" s="7">
        <v>50352</v>
      </c>
      <c r="M28" s="7">
        <v>11938</v>
      </c>
      <c r="N28" s="7">
        <v>3819</v>
      </c>
      <c r="O28" s="7">
        <v>74414</v>
      </c>
      <c r="P28" s="7">
        <v>10828</v>
      </c>
      <c r="Q28" s="7">
        <v>43981</v>
      </c>
      <c r="R28" s="7">
        <v>142448</v>
      </c>
      <c r="T28" s="10">
        <f t="shared" si="1"/>
        <v>1.0172418263111813</v>
      </c>
      <c r="U28" s="10">
        <f t="shared" si="5"/>
        <v>-1.82517717906856E-2</v>
      </c>
    </row>
    <row r="29" spans="1:21" ht="15.75" customHeight="1">
      <c r="C29">
        <v>416921</v>
      </c>
      <c r="F29" s="130">
        <v>5161</v>
      </c>
      <c r="G29" s="130">
        <f>C29-F29</f>
        <v>411760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14">
    <outlinePr summaryBelow="0" summaryRight="0"/>
  </sheetPr>
  <dimension ref="A1:AB999"/>
  <sheetViews>
    <sheetView topLeftCell="E5" workbookViewId="0">
      <selection activeCell="P29" sqref="O29:P29"/>
    </sheetView>
  </sheetViews>
  <sheetFormatPr defaultColWidth="12.6640625" defaultRowHeight="15.75" customHeight="1"/>
  <cols>
    <col min="16" max="17" width="12.6640625" style="130"/>
  </cols>
  <sheetData>
    <row r="1" spans="1:28">
      <c r="A1" s="7" t="s">
        <v>130</v>
      </c>
      <c r="B1" s="7" t="s">
        <v>116</v>
      </c>
      <c r="C1" s="7" t="s">
        <v>19</v>
      </c>
      <c r="D1" s="7" t="s">
        <v>117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125</v>
      </c>
      <c r="L1" s="7" t="s">
        <v>126</v>
      </c>
      <c r="M1" s="7" t="s">
        <v>127</v>
      </c>
      <c r="N1" s="7" t="s">
        <v>128</v>
      </c>
      <c r="O1" s="129" t="s">
        <v>241</v>
      </c>
      <c r="P1" s="129" t="s">
        <v>242</v>
      </c>
      <c r="Q1" s="129"/>
      <c r="R1" s="11" t="s">
        <v>117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</row>
    <row r="2" spans="1:28">
      <c r="A2" s="7">
        <v>1995</v>
      </c>
      <c r="B2" s="46">
        <v>312.13</v>
      </c>
      <c r="C2" s="11">
        <f>'AMECO Output Gap'!B32/100</f>
        <v>-1.3000000000000001E-2</v>
      </c>
      <c r="D2" s="7">
        <f>overheidsuitgaven_nominaal!C2/Inflatie!$D34</f>
        <v>170570.35854616895</v>
      </c>
      <c r="E2" s="7">
        <f>overheidsuitgaven_nominaal!I2/Inflatie!$D34</f>
        <v>12748.073735265225</v>
      </c>
      <c r="F2" s="7">
        <f>overheidsuitgaven_nominaal!J2/Inflatie!$D34</f>
        <v>5851.7006385068762</v>
      </c>
      <c r="G2" s="7">
        <f>overheidsuitgaven_nominaal!K2/Inflatie!$D34</f>
        <v>4454.9668467583497</v>
      </c>
      <c r="H2" s="7">
        <f>overheidsuitgaven_nominaal!L2/Inflatie!$D34</f>
        <v>15031.196279469548</v>
      </c>
      <c r="I2" s="7">
        <f>overheidsuitgaven_nominaal!M2/Inflatie!$D34</f>
        <v>5161.967399312377</v>
      </c>
      <c r="J2" s="7">
        <f>overheidsuitgaven_nominaal!N2/Inflatie!$D34</f>
        <v>17244.290275049116</v>
      </c>
      <c r="K2" s="7">
        <f>overheidsuitgaven_nominaal!O2/Inflatie!$D34</f>
        <v>14754.919265717092</v>
      </c>
      <c r="L2" s="7">
        <f>overheidsuitgaven_nominaal!P2/Inflatie!$D34</f>
        <v>3866.9188973477408</v>
      </c>
      <c r="M2" s="7">
        <f>overheidsuitgaven_nominaal!Q2/Inflatie!$D34</f>
        <v>16216.88513015717</v>
      </c>
      <c r="N2" s="7">
        <f>overheidsuitgaven_nominaal!R2/Inflatie!$D34</f>
        <v>59196.187377210212</v>
      </c>
      <c r="O2">
        <f>SUM(E2:N2)</f>
        <v>154527.10584479372</v>
      </c>
      <c r="P2" s="130">
        <f>O2</f>
        <v>154527.10584479372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>
      <c r="A3" s="7">
        <v>1996</v>
      </c>
      <c r="B3" s="46">
        <v>326.27999999999997</v>
      </c>
      <c r="C3" s="11">
        <f>'AMECO Output Gap'!B33/100</f>
        <v>-1.2E-2</v>
      </c>
      <c r="D3" s="7">
        <f>overheidsuitgaven_nominaal!C3/Inflatie!$D35</f>
        <v>153788.7226354196</v>
      </c>
      <c r="E3" s="129">
        <f>overheidsuitgaven_nominaal!I3/Inflatie!$D35</f>
        <v>12639.068503392144</v>
      </c>
      <c r="F3" s="7">
        <f>overheidsuitgaven_nominaal!J3/Inflatie!$D35</f>
        <v>5855.0085529435673</v>
      </c>
      <c r="G3" s="7">
        <f>overheidsuitgaven_nominaal!K3/Inflatie!$D35</f>
        <v>4635.8058034202095</v>
      </c>
      <c r="H3" s="7">
        <f>overheidsuitgaven_nominaal!L3/Inflatie!$D35</f>
        <v>15582.167233636901</v>
      </c>
      <c r="I3" s="7">
        <f>overheidsuitgaven_nominaal!M3/Inflatie!$D35</f>
        <v>5234.0657572560904</v>
      </c>
      <c r="J3" s="7">
        <f>overheidsuitgaven_nominaal!N3/Inflatie!$D35</f>
        <v>1281.5805646152508</v>
      </c>
      <c r="K3" s="7">
        <f>overheidsuitgaven_nominaal!O3/Inflatie!$D35</f>
        <v>14402.659457353839</v>
      </c>
      <c r="L3" s="7">
        <f>overheidsuitgaven_nominaal!P3/Inflatie!$D35</f>
        <v>3902.3939168852285</v>
      </c>
      <c r="M3" s="7">
        <f>overheidsuitgaven_nominaal!Q3/Inflatie!$D35</f>
        <v>16446.950579229051</v>
      </c>
      <c r="N3" s="7">
        <f>overheidsuitgaven_nominaal!R3/Inflatie!$D35</f>
        <v>58365.787439391446</v>
      </c>
      <c r="O3" s="130">
        <f t="shared" ref="O3:O28" si="0">SUM(E3:N3)</f>
        <v>138345.48780812373</v>
      </c>
      <c r="P3" s="130">
        <f>O3</f>
        <v>138345.48780812373</v>
      </c>
      <c r="R3" s="10">
        <f t="shared" ref="R3:AB3" si="1">D3/D2-1</f>
        <v>-9.8385417336195546E-2</v>
      </c>
      <c r="S3" s="10">
        <f t="shared" si="1"/>
        <v>-8.5507217903468824E-3</v>
      </c>
      <c r="T3" s="10">
        <f t="shared" si="1"/>
        <v>5.6529112492942346E-4</v>
      </c>
      <c r="U3" s="10">
        <f t="shared" si="1"/>
        <v>4.0592660480391007E-2</v>
      </c>
      <c r="V3" s="10">
        <f t="shared" si="1"/>
        <v>3.6655163296609894E-2</v>
      </c>
      <c r="W3" s="10">
        <f t="shared" si="1"/>
        <v>1.3967224580557769E-2</v>
      </c>
      <c r="X3" s="10">
        <f t="shared" si="1"/>
        <v>-0.92568087499260099</v>
      </c>
      <c r="Y3" s="10">
        <f t="shared" si="1"/>
        <v>-2.3874058679651644E-2</v>
      </c>
      <c r="Z3" s="10">
        <f t="shared" si="1"/>
        <v>9.1739755808737389E-3</v>
      </c>
      <c r="AA3" s="10">
        <f t="shared" si="1"/>
        <v>1.4186784158941146E-2</v>
      </c>
      <c r="AB3" s="10">
        <f t="shared" si="1"/>
        <v>-1.4027929409157536E-2</v>
      </c>
    </row>
    <row r="4" spans="1:28">
      <c r="A4" s="7">
        <v>1997</v>
      </c>
      <c r="B4" s="46">
        <v>349.16</v>
      </c>
      <c r="C4" s="11">
        <f>'AMECO Output Gap'!B34/100</f>
        <v>-5.0000000000000001E-3</v>
      </c>
      <c r="D4" s="7">
        <f>overheidsuitgaven_nominaal!C4/Inflatie!$D36</f>
        <v>156349.4561075565</v>
      </c>
      <c r="E4" s="129">
        <f>overheidsuitgaven_nominaal!I4/Inflatie!$D36</f>
        <v>12811.913982109341</v>
      </c>
      <c r="F4" s="7">
        <f>overheidsuitgaven_nominaal!J4/Inflatie!$D36</f>
        <v>5661.4445961298961</v>
      </c>
      <c r="G4" s="7">
        <f>overheidsuitgaven_nominaal!K4/Inflatie!$D36</f>
        <v>4779.334079678888</v>
      </c>
      <c r="H4" s="7">
        <f>overheidsuitgaven_nominaal!L4/Inflatie!$D36</f>
        <v>17129.80789666995</v>
      </c>
      <c r="I4" s="7">
        <f>overheidsuitgaven_nominaal!M4/Inflatie!$D36</f>
        <v>5347.3317126457659</v>
      </c>
      <c r="J4" s="7">
        <f>overheidsuitgaven_nominaal!N4/Inflatie!$D36</f>
        <v>1697.5067921620246</v>
      </c>
      <c r="K4" s="7">
        <f>overheidsuitgaven_nominaal!O4/Inflatie!$D36</f>
        <v>15827.027028886212</v>
      </c>
      <c r="L4" s="7">
        <f>overheidsuitgaven_nominaal!P4/Inflatie!$D36</f>
        <v>4176.1261529881249</v>
      </c>
      <c r="M4" s="7">
        <f>overheidsuitgaven_nominaal!Q4/Inflatie!$D36</f>
        <v>16744.347839061105</v>
      </c>
      <c r="N4" s="7">
        <f>overheidsuitgaven_nominaal!R4/Inflatie!$D36</f>
        <v>57025.850445862248</v>
      </c>
      <c r="O4" s="130">
        <f t="shared" si="0"/>
        <v>141200.69052619356</v>
      </c>
      <c r="P4" s="130">
        <f>($O$29-$O$3)/26+P3</f>
        <v>141936.7767320167</v>
      </c>
      <c r="R4" s="10">
        <f t="shared" ref="R4:AB4" si="2">D4/D3-1</f>
        <v>1.6650983428788235E-2</v>
      </c>
      <c r="S4" s="10">
        <f t="shared" si="2"/>
        <v>1.36754918822386E-2</v>
      </c>
      <c r="T4" s="10">
        <f t="shared" si="2"/>
        <v>-3.3059551504217355E-2</v>
      </c>
      <c r="U4" s="10">
        <f t="shared" si="2"/>
        <v>3.0960804301333411E-2</v>
      </c>
      <c r="V4" s="10">
        <f t="shared" si="2"/>
        <v>9.9321271542522682E-2</v>
      </c>
      <c r="W4" s="10">
        <f t="shared" si="2"/>
        <v>2.1640147572210555E-2</v>
      </c>
      <c r="X4" s="10">
        <f t="shared" si="2"/>
        <v>0.32454161605645204</v>
      </c>
      <c r="Y4" s="10">
        <f t="shared" si="2"/>
        <v>9.8896150099911484E-2</v>
      </c>
      <c r="Z4" s="10">
        <f t="shared" si="2"/>
        <v>7.0144696289753616E-2</v>
      </c>
      <c r="AA4" s="10">
        <f t="shared" si="2"/>
        <v>1.8082212772478234E-2</v>
      </c>
      <c r="AB4" s="10">
        <f t="shared" si="2"/>
        <v>-2.2957575873033931E-2</v>
      </c>
    </row>
    <row r="5" spans="1:28">
      <c r="A5" s="7">
        <v>1998</v>
      </c>
      <c r="B5" s="46">
        <v>373.25</v>
      </c>
      <c r="C5" s="11">
        <f>'AMECO Output Gap'!B35/100</f>
        <v>5.0000000000000001E-3</v>
      </c>
      <c r="D5" s="7">
        <f>overheidsuitgaven_nominaal!C5/Inflatie!$D37</f>
        <v>160049.85425642162</v>
      </c>
      <c r="E5" s="129">
        <f>overheidsuitgaven_nominaal!I5/Inflatie!$D37</f>
        <v>13218.209940126289</v>
      </c>
      <c r="F5" s="7">
        <f>overheidsuitgaven_nominaal!J5/Inflatie!$D37</f>
        <v>5591.4084920426685</v>
      </c>
      <c r="G5" s="7">
        <f>overheidsuitgaven_nominaal!K5/Inflatie!$D37</f>
        <v>5069.3493318763904</v>
      </c>
      <c r="H5" s="7">
        <f>overheidsuitgaven_nominaal!L5/Inflatie!$D37</f>
        <v>18270.248409798212</v>
      </c>
      <c r="I5" s="7">
        <f>overheidsuitgaven_nominaal!M5/Inflatie!$D37</f>
        <v>5388.2336356428777</v>
      </c>
      <c r="J5" s="7">
        <f>overheidsuitgaven_nominaal!N5/Inflatie!$D37</f>
        <v>2194.8351079241957</v>
      </c>
      <c r="K5" s="7">
        <f>overheidsuitgaven_nominaal!O5/Inflatie!$D37</f>
        <v>16348.742705102435</v>
      </c>
      <c r="L5" s="7">
        <f>overheidsuitgaven_nominaal!P5/Inflatie!$D37</f>
        <v>4406.9810780528578</v>
      </c>
      <c r="M5" s="7">
        <f>overheidsuitgaven_nominaal!Q5/Inflatie!$D37</f>
        <v>17155.064444626267</v>
      </c>
      <c r="N5" s="7">
        <f>overheidsuitgaven_nominaal!R5/Inflatie!$D37</f>
        <v>57390.06369786014</v>
      </c>
      <c r="O5" s="130">
        <f t="shared" si="0"/>
        <v>145033.13684305234</v>
      </c>
      <c r="P5" s="130">
        <f t="shared" ref="P5:P29" si="3">($O$28-$O$3)/25+P4</f>
        <v>146323.91341074061</v>
      </c>
      <c r="R5" s="10">
        <f t="shared" ref="R5:AB5" si="4">D5/D4-1</f>
        <v>2.3667483347812324E-2</v>
      </c>
      <c r="S5" s="10">
        <f t="shared" si="4"/>
        <v>3.1712354499437323E-2</v>
      </c>
      <c r="T5" s="10">
        <f t="shared" si="4"/>
        <v>-1.23707126154875E-2</v>
      </c>
      <c r="U5" s="10">
        <f t="shared" si="4"/>
        <v>6.0681100622492545E-2</v>
      </c>
      <c r="V5" s="10">
        <f t="shared" si="4"/>
        <v>6.6576374937045601E-2</v>
      </c>
      <c r="W5" s="10">
        <f t="shared" si="4"/>
        <v>7.6490341716382027E-3</v>
      </c>
      <c r="X5" s="10">
        <f t="shared" si="4"/>
        <v>0.29297574422588935</v>
      </c>
      <c r="Y5" s="10">
        <f t="shared" si="4"/>
        <v>3.2963592926456009E-2</v>
      </c>
      <c r="Z5" s="10">
        <f t="shared" si="4"/>
        <v>5.5279681840920913E-2</v>
      </c>
      <c r="AA5" s="10">
        <f t="shared" si="4"/>
        <v>2.4528671376919498E-2</v>
      </c>
      <c r="AB5" s="10">
        <f t="shared" si="4"/>
        <v>6.3868096512416095E-3</v>
      </c>
    </row>
    <row r="6" spans="1:28">
      <c r="A6" s="7">
        <v>1999</v>
      </c>
      <c r="B6" s="46">
        <v>397.01</v>
      </c>
      <c r="C6" s="11">
        <f>'AMECO Output Gap'!B36/100</f>
        <v>1.9E-2</v>
      </c>
      <c r="D6" s="7">
        <f>overheidsuitgaven_nominaal!C6/Inflatie!$D38</f>
        <v>163845.34433446528</v>
      </c>
      <c r="E6" s="129">
        <f>overheidsuitgaven_nominaal!I6/Inflatie!$D38</f>
        <v>13624.364353647263</v>
      </c>
      <c r="F6" s="7">
        <f>overheidsuitgaven_nominaal!J6/Inflatie!$D38</f>
        <v>6102.6545224253778</v>
      </c>
      <c r="G6" s="7">
        <f>overheidsuitgaven_nominaal!K6/Inflatie!$D38</f>
        <v>5365.3549522615367</v>
      </c>
      <c r="H6" s="7">
        <f>overheidsuitgaven_nominaal!L6/Inflatie!$D38</f>
        <v>18996.886251912823</v>
      </c>
      <c r="I6" s="7">
        <f>overheidsuitgaven_nominaal!M6/Inflatie!$D38</f>
        <v>5553.4872848671339</v>
      </c>
      <c r="J6" s="7">
        <f>overheidsuitgaven_nominaal!N6/Inflatie!$D38</f>
        <v>2042.5796111464858</v>
      </c>
      <c r="K6" s="7">
        <f>overheidsuitgaven_nominaal!O6/Inflatie!$D38</f>
        <v>16990.141370786449</v>
      </c>
      <c r="L6" s="7">
        <f>overheidsuitgaven_nominaal!P6/Inflatie!$D38</f>
        <v>4743.6223864125623</v>
      </c>
      <c r="M6" s="7">
        <f>overheidsuitgaven_nominaal!Q6/Inflatie!$D38</f>
        <v>18057.120457135337</v>
      </c>
      <c r="N6" s="7">
        <f>overheidsuitgaven_nominaal!R6/Inflatie!$D38</f>
        <v>57769.16826542544</v>
      </c>
      <c r="O6" s="130">
        <f t="shared" si="0"/>
        <v>149245.37945602043</v>
      </c>
      <c r="P6" s="130">
        <f t="shared" si="3"/>
        <v>150711.05008946452</v>
      </c>
      <c r="R6" s="10">
        <f t="shared" ref="R6:AB6" si="5">D6/D5-1</f>
        <v>2.3714423831731724E-2</v>
      </c>
      <c r="S6" s="10">
        <f t="shared" si="5"/>
        <v>3.0726884756764106E-2</v>
      </c>
      <c r="T6" s="10">
        <f t="shared" si="5"/>
        <v>9.1434212168594264E-2</v>
      </c>
      <c r="U6" s="10">
        <f t="shared" si="5"/>
        <v>5.8391245307133355E-2</v>
      </c>
      <c r="V6" s="10">
        <f t="shared" si="5"/>
        <v>3.9771645454197646E-2</v>
      </c>
      <c r="W6" s="10">
        <f t="shared" si="5"/>
        <v>3.0669354819937933E-2</v>
      </c>
      <c r="X6" s="10">
        <f t="shared" si="5"/>
        <v>-6.9369902198123778E-2</v>
      </c>
      <c r="Y6" s="10">
        <f t="shared" si="5"/>
        <v>3.9232293103727889E-2</v>
      </c>
      <c r="Z6" s="10">
        <f t="shared" si="5"/>
        <v>7.6388190100521891E-2</v>
      </c>
      <c r="AA6" s="10">
        <f t="shared" si="5"/>
        <v>5.2582490460514331E-2</v>
      </c>
      <c r="AB6" s="10">
        <f t="shared" si="5"/>
        <v>6.6057526884994999E-3</v>
      </c>
    </row>
    <row r="7" spans="1:28">
      <c r="A7" s="7">
        <v>2000</v>
      </c>
      <c r="B7" s="46">
        <v>427.75</v>
      </c>
      <c r="C7" s="11">
        <f>'AMECO Output Gap'!B37/100</f>
        <v>2.7000000000000003E-2</v>
      </c>
      <c r="D7" s="7">
        <f>overheidsuitgaven_nominaal!C7/Inflatie!$D39</f>
        <v>167892.02154482374</v>
      </c>
      <c r="E7" s="129">
        <f>overheidsuitgaven_nominaal!I7/Inflatie!$D39</f>
        <v>14880.880059233163</v>
      </c>
      <c r="F7" s="7">
        <f>overheidsuitgaven_nominaal!J7/Inflatie!$D39</f>
        <v>5791.5866253153572</v>
      </c>
      <c r="G7" s="7">
        <f>overheidsuitgaven_nominaal!K7/Inflatie!$D39</f>
        <v>5883.6278839286633</v>
      </c>
      <c r="H7" s="7">
        <f>overheidsuitgaven_nominaal!L7/Inflatie!$D39</f>
        <v>19615.307085618548</v>
      </c>
      <c r="I7" s="7">
        <f>overheidsuitgaven_nominaal!M7/Inflatie!$D39</f>
        <v>5940.6058059273764</v>
      </c>
      <c r="J7" s="7">
        <f>overheidsuitgaven_nominaal!N7/Inflatie!$D39</f>
        <v>2267.7212955487862</v>
      </c>
      <c r="K7" s="7">
        <f>overheidsuitgaven_nominaal!O7/Inflatie!$D39</f>
        <v>18346.890883585656</v>
      </c>
      <c r="L7" s="7">
        <f>overheidsuitgaven_nominaal!P7/Inflatie!$D39</f>
        <v>5114.864228653717</v>
      </c>
      <c r="M7" s="7">
        <f>overheidsuitgaven_nominaal!Q7/Inflatie!$D39</f>
        <v>18398.609305092181</v>
      </c>
      <c r="N7" s="7">
        <f>overheidsuitgaven_nominaal!R7/Inflatie!$D39</f>
        <v>58600.477900553495</v>
      </c>
      <c r="O7" s="130">
        <f t="shared" si="0"/>
        <v>154840.57107345696</v>
      </c>
      <c r="P7" s="130">
        <f t="shared" si="3"/>
        <v>155098.18676818843</v>
      </c>
      <c r="R7" s="10">
        <f t="shared" ref="R7:AB7" si="6">D7/D6-1</f>
        <v>2.4698151948082225E-2</v>
      </c>
      <c r="S7" s="10">
        <f t="shared" si="6"/>
        <v>9.2225638787289732E-2</v>
      </c>
      <c r="T7" s="10">
        <f t="shared" si="6"/>
        <v>-5.0972555625906968E-2</v>
      </c>
      <c r="U7" s="10">
        <f t="shared" si="6"/>
        <v>9.6596205894760256E-2</v>
      </c>
      <c r="V7" s="10">
        <f t="shared" si="6"/>
        <v>3.2553799896730684E-2</v>
      </c>
      <c r="W7" s="10">
        <f t="shared" si="6"/>
        <v>6.9707285027033938E-2</v>
      </c>
      <c r="X7" s="10">
        <f t="shared" si="6"/>
        <v>0.11022419061352018</v>
      </c>
      <c r="Y7" s="10">
        <f t="shared" si="6"/>
        <v>7.9855104392012821E-2</v>
      </c>
      <c r="Z7" s="10">
        <f t="shared" si="6"/>
        <v>7.826125521806393E-2</v>
      </c>
      <c r="AA7" s="10">
        <f t="shared" si="6"/>
        <v>1.8911589406931384E-2</v>
      </c>
      <c r="AB7" s="10">
        <f t="shared" si="6"/>
        <v>1.4390195671651895E-2</v>
      </c>
    </row>
    <row r="8" spans="1:28">
      <c r="A8" s="7">
        <v>2001</v>
      </c>
      <c r="B8" s="46">
        <v>455.96</v>
      </c>
      <c r="C8" s="11">
        <f>'AMECO Output Gap'!B38/100</f>
        <v>1.9E-2</v>
      </c>
      <c r="D8" s="7">
        <f>overheidsuitgaven_nominaal!C8/Inflatie!$D40</f>
        <v>175688.97718759745</v>
      </c>
      <c r="E8" s="129">
        <f>overheidsuitgaven_nominaal!I8/Inflatie!$D40</f>
        <v>15719.272867420465</v>
      </c>
      <c r="F8" s="7">
        <f>overheidsuitgaven_nominaal!J8/Inflatie!$D40</f>
        <v>6054.009977736755</v>
      </c>
      <c r="G8" s="7">
        <f>overheidsuitgaven_nominaal!K8/Inflatie!$D40</f>
        <v>6408.5355096265803</v>
      </c>
      <c r="H8" s="7">
        <f>overheidsuitgaven_nominaal!L8/Inflatie!$D40</f>
        <v>22080.425489730027</v>
      </c>
      <c r="I8" s="7">
        <f>overheidsuitgaven_nominaal!M8/Inflatie!$D40</f>
        <v>5998.1658605416987</v>
      </c>
      <c r="J8" s="7">
        <f>overheidsuitgaven_nominaal!N8/Inflatie!$D40</f>
        <v>2879.3565274966004</v>
      </c>
      <c r="K8" s="7">
        <f>overheidsuitgaven_nominaal!O8/Inflatie!$D40</f>
        <v>19458.290350525807</v>
      </c>
      <c r="L8" s="7">
        <f>overheidsuitgaven_nominaal!P8/Inflatie!$D40</f>
        <v>5857.7094445662542</v>
      </c>
      <c r="M8" s="7">
        <f>overheidsuitgaven_nominaal!Q8/Inflatie!$D40</f>
        <v>18819.467494733879</v>
      </c>
      <c r="N8" s="7">
        <f>overheidsuitgaven_nominaal!R8/Inflatie!$D40</f>
        <v>60661.941487611308</v>
      </c>
      <c r="O8" s="130">
        <f t="shared" si="0"/>
        <v>163937.17500998938</v>
      </c>
      <c r="P8" s="130">
        <f t="shared" si="3"/>
        <v>159485.32344691234</v>
      </c>
      <c r="R8" s="10">
        <f t="shared" ref="R8:AB8" si="7">D8/D7-1</f>
        <v>4.644029877674738E-2</v>
      </c>
      <c r="S8" s="10">
        <f t="shared" si="7"/>
        <v>5.634027052500179E-2</v>
      </c>
      <c r="T8" s="10">
        <f t="shared" si="7"/>
        <v>4.5311133096815004E-2</v>
      </c>
      <c r="U8" s="10">
        <f t="shared" si="7"/>
        <v>8.921495989434014E-2</v>
      </c>
      <c r="V8" s="10">
        <f t="shared" si="7"/>
        <v>0.12567319967775781</v>
      </c>
      <c r="W8" s="10">
        <f t="shared" si="7"/>
        <v>9.6892567012087927E-3</v>
      </c>
      <c r="X8" s="10">
        <f t="shared" si="7"/>
        <v>0.26971358127137002</v>
      </c>
      <c r="Y8" s="10">
        <f t="shared" si="7"/>
        <v>6.057699225401092E-2</v>
      </c>
      <c r="Z8" s="10">
        <f t="shared" si="7"/>
        <v>0.14523263623520677</v>
      </c>
      <c r="AA8" s="10">
        <f t="shared" si="7"/>
        <v>2.2874456577824942E-2</v>
      </c>
      <c r="AB8" s="10">
        <f t="shared" si="7"/>
        <v>3.5178272616755324E-2</v>
      </c>
    </row>
    <row r="9" spans="1:28">
      <c r="A9" s="7">
        <v>2002</v>
      </c>
      <c r="B9" s="46">
        <v>474.24</v>
      </c>
      <c r="C9" s="11">
        <f>'AMECO Output Gap'!B39/100</f>
        <v>-4.0000000000000001E-3</v>
      </c>
      <c r="D9" s="7">
        <f>overheidsuitgaven_nominaal!C9/Inflatie!$D41</f>
        <v>179110.48906528129</v>
      </c>
      <c r="E9" s="129">
        <f>overheidsuitgaven_nominaal!I9/Inflatie!$D41</f>
        <v>15539.53146846776</v>
      </c>
      <c r="F9" s="7">
        <f>overheidsuitgaven_nominaal!J9/Inflatie!$D41</f>
        <v>5846.7589437705183</v>
      </c>
      <c r="G9" s="7">
        <f>overheidsuitgaven_nominaal!K9/Inflatie!$D41</f>
        <v>6838.5394671924732</v>
      </c>
      <c r="H9" s="7">
        <f>overheidsuitgaven_nominaal!L9/Inflatie!$D41</f>
        <v>21733.249935283584</v>
      </c>
      <c r="I9" s="7">
        <f>overheidsuitgaven_nominaal!M9/Inflatie!$D41</f>
        <v>6438.3903946237142</v>
      </c>
      <c r="J9" s="7">
        <f>overheidsuitgaven_nominaal!N9/Inflatie!$D41</f>
        <v>3039.1690296940105</v>
      </c>
      <c r="K9" s="7">
        <f>overheidsuitgaven_nominaal!O9/Inflatie!$D41</f>
        <v>21111.341356240111</v>
      </c>
      <c r="L9" s="7">
        <f>overheidsuitgaven_nominaal!P9/Inflatie!$D41</f>
        <v>6061.1537433881358</v>
      </c>
      <c r="M9" s="7">
        <f>overheidsuitgaven_nominaal!Q9/Inflatie!$D41</f>
        <v>19729.23136939219</v>
      </c>
      <c r="N9" s="7">
        <f>overheidsuitgaven_nominaal!R9/Inflatie!$D41</f>
        <v>62230.136340918179</v>
      </c>
      <c r="O9" s="130">
        <f t="shared" si="0"/>
        <v>168567.50204897067</v>
      </c>
      <c r="P9" s="130">
        <f t="shared" si="3"/>
        <v>163872.46012563625</v>
      </c>
      <c r="R9" s="10">
        <f t="shared" ref="R9:AB9" si="8">D9/D8-1</f>
        <v>1.9474823819085829E-2</v>
      </c>
      <c r="S9" s="10">
        <f t="shared" si="8"/>
        <v>-1.143446013493632E-2</v>
      </c>
      <c r="T9" s="10">
        <f t="shared" si="8"/>
        <v>-3.4233678954674551E-2</v>
      </c>
      <c r="U9" s="10">
        <f t="shared" si="8"/>
        <v>6.7098630712112417E-2</v>
      </c>
      <c r="V9" s="10">
        <f t="shared" si="8"/>
        <v>-1.5723227553197328E-2</v>
      </c>
      <c r="W9" s="10">
        <f t="shared" si="8"/>
        <v>7.3393191238339428E-2</v>
      </c>
      <c r="X9" s="10">
        <f t="shared" si="8"/>
        <v>5.5502853040695133E-2</v>
      </c>
      <c r="Y9" s="10">
        <f t="shared" si="8"/>
        <v>8.4953558402916629E-2</v>
      </c>
      <c r="Z9" s="10">
        <f t="shared" si="8"/>
        <v>3.4731032794841132E-2</v>
      </c>
      <c r="AA9" s="10">
        <f t="shared" si="8"/>
        <v>4.8341637451372321E-2</v>
      </c>
      <c r="AB9" s="10">
        <f t="shared" si="8"/>
        <v>2.5851379214876236E-2</v>
      </c>
    </row>
    <row r="10" spans="1:28">
      <c r="A10" s="7">
        <v>2003</v>
      </c>
      <c r="B10" s="46">
        <v>485.64</v>
      </c>
      <c r="C10" s="11">
        <f>'AMECO Output Gap'!B40/100</f>
        <v>-2.3E-2</v>
      </c>
      <c r="D10" s="7">
        <f>overheidsuitgaven_nominaal!C10/Inflatie!$D42</f>
        <v>184063.86754996606</v>
      </c>
      <c r="E10" s="129">
        <f>overheidsuitgaven_nominaal!I10/Inflatie!$D42</f>
        <v>15591.078795166795</v>
      </c>
      <c r="F10" s="7">
        <f>overheidsuitgaven_nominaal!J10/Inflatie!$D42</f>
        <v>5822.0613579685432</v>
      </c>
      <c r="G10" s="7">
        <f>overheidsuitgaven_nominaal!K10/Inflatie!$D42</f>
        <v>7208.9165255839471</v>
      </c>
      <c r="H10" s="7">
        <f>overheidsuitgaven_nominaal!L10/Inflatie!$D42</f>
        <v>21642.810435670373</v>
      </c>
      <c r="I10" s="7">
        <f>overheidsuitgaven_nominaal!M10/Inflatie!$D42</f>
        <v>6719.8633715145888</v>
      </c>
      <c r="J10" s="7">
        <f>overheidsuitgaven_nominaal!N10/Inflatie!$D42</f>
        <v>3509.2976736996598</v>
      </c>
      <c r="K10" s="7">
        <f>overheidsuitgaven_nominaal!O10/Inflatie!$D42</f>
        <v>22201.728326035354</v>
      </c>
      <c r="L10" s="7">
        <f>overheidsuitgaven_nominaal!P10/Inflatie!$D42</f>
        <v>6077.4290147732327</v>
      </c>
      <c r="M10" s="7">
        <f>overheidsuitgaven_nominaal!Q10/Inflatie!$D42</f>
        <v>20965.042189308242</v>
      </c>
      <c r="N10" s="7">
        <f>overheidsuitgaven_nominaal!R10/Inflatie!$D42</f>
        <v>64559.834594830769</v>
      </c>
      <c r="O10" s="130">
        <f t="shared" si="0"/>
        <v>174298.0622845515</v>
      </c>
      <c r="P10" s="130">
        <f t="shared" si="3"/>
        <v>168259.59680436016</v>
      </c>
      <c r="R10" s="10">
        <f t="shared" ref="R10:AB10" si="9">D10/D9-1</f>
        <v>2.7655434980579985E-2</v>
      </c>
      <c r="S10" s="10">
        <f t="shared" si="9"/>
        <v>3.3171738030604025E-3</v>
      </c>
      <c r="T10" s="10">
        <f t="shared" si="9"/>
        <v>-4.2241498306150316E-3</v>
      </c>
      <c r="U10" s="10">
        <f t="shared" si="9"/>
        <v>5.4160257488947483E-2</v>
      </c>
      <c r="V10" s="10">
        <f t="shared" si="9"/>
        <v>-4.1613426377793417E-3</v>
      </c>
      <c r="W10" s="10">
        <f t="shared" si="9"/>
        <v>4.3717910788061864E-2</v>
      </c>
      <c r="X10" s="10">
        <f t="shared" si="9"/>
        <v>0.15468986404253493</v>
      </c>
      <c r="Y10" s="10">
        <f t="shared" si="9"/>
        <v>5.164934578981395E-2</v>
      </c>
      <c r="Z10" s="10">
        <f t="shared" si="9"/>
        <v>2.6851771253699752E-3</v>
      </c>
      <c r="AA10" s="10">
        <f t="shared" si="9"/>
        <v>6.2638568973005349E-2</v>
      </c>
      <c r="AB10" s="10">
        <f t="shared" si="9"/>
        <v>3.7436817447252579E-2</v>
      </c>
    </row>
    <row r="11" spans="1:28">
      <c r="A11" s="7">
        <v>2004</v>
      </c>
      <c r="B11" s="46">
        <v>501.3</v>
      </c>
      <c r="C11" s="11">
        <f>'AMECO Output Gap'!B41/100</f>
        <v>-2.1000000000000001E-2</v>
      </c>
      <c r="D11" s="7">
        <f>overheidsuitgaven_nominaal!C11/Inflatie!$D43</f>
        <v>183877.73349659663</v>
      </c>
      <c r="E11" s="129">
        <f>overheidsuitgaven_nominaal!I11/Inflatie!$D43</f>
        <v>15557.066862268703</v>
      </c>
      <c r="F11" s="7">
        <f>overheidsuitgaven_nominaal!J11/Inflatie!$D43</f>
        <v>5780.4766266259576</v>
      </c>
      <c r="G11" s="7">
        <f>overheidsuitgaven_nominaal!K11/Inflatie!$D43</f>
        <v>7371.4407979911357</v>
      </c>
      <c r="H11" s="7">
        <f>overheidsuitgaven_nominaal!L11/Inflatie!$D43</f>
        <v>20692.880668081358</v>
      </c>
      <c r="I11" s="7">
        <f>overheidsuitgaven_nominaal!M11/Inflatie!$D43</f>
        <v>6805.57009972168</v>
      </c>
      <c r="J11" s="7">
        <f>overheidsuitgaven_nominaal!N11/Inflatie!$D43</f>
        <v>2277.80863354034</v>
      </c>
      <c r="K11" s="7">
        <f>overheidsuitgaven_nominaal!O11/Inflatie!$D43</f>
        <v>22590.258649339277</v>
      </c>
      <c r="L11" s="7">
        <f>overheidsuitgaven_nominaal!P11/Inflatie!$D43</f>
        <v>6048.68819528532</v>
      </c>
      <c r="M11" s="7">
        <f>overheidsuitgaven_nominaal!Q11/Inflatie!$D43</f>
        <v>21554.022855883821</v>
      </c>
      <c r="N11" s="7">
        <f>overheidsuitgaven_nominaal!R11/Inflatie!$D43</f>
        <v>65418.154592062121</v>
      </c>
      <c r="O11" s="130">
        <f t="shared" si="0"/>
        <v>174096.3679807997</v>
      </c>
      <c r="P11" s="130">
        <f t="shared" si="3"/>
        <v>172646.73348308407</v>
      </c>
      <c r="R11" s="10">
        <f t="shared" ref="R11:AB11" si="10">D11/D10-1</f>
        <v>-1.0112471059475769E-3</v>
      </c>
      <c r="S11" s="10">
        <f t="shared" si="10"/>
        <v>-2.1814996476470228E-3</v>
      </c>
      <c r="T11" s="10">
        <f t="shared" si="10"/>
        <v>-7.1426130344142136E-3</v>
      </c>
      <c r="U11" s="10">
        <f t="shared" si="10"/>
        <v>2.2544895870329595E-2</v>
      </c>
      <c r="V11" s="10">
        <f t="shared" si="10"/>
        <v>-4.3891239098199475E-2</v>
      </c>
      <c r="W11" s="10">
        <f t="shared" si="10"/>
        <v>1.275423672606224E-2</v>
      </c>
      <c r="X11" s="10">
        <f t="shared" si="10"/>
        <v>-0.35092179537480739</v>
      </c>
      <c r="Y11" s="10">
        <f t="shared" si="10"/>
        <v>1.750000349514691E-2</v>
      </c>
      <c r="Z11" s="10">
        <f t="shared" si="10"/>
        <v>-4.7291082163277709E-3</v>
      </c>
      <c r="AA11" s="10">
        <f t="shared" si="10"/>
        <v>2.8093464408859958E-2</v>
      </c>
      <c r="AB11" s="10">
        <f t="shared" si="10"/>
        <v>1.3294953474060955E-2</v>
      </c>
    </row>
    <row r="12" spans="1:28">
      <c r="A12" s="7">
        <v>2005</v>
      </c>
      <c r="B12" s="46">
        <v>522.05999999999995</v>
      </c>
      <c r="C12" s="11">
        <f>'AMECO Output Gap'!B42/100</f>
        <v>-1.6E-2</v>
      </c>
      <c r="D12" s="7">
        <f>overheidsuitgaven_nominaal!C12/Inflatie!$D44</f>
        <v>184130.06199997003</v>
      </c>
      <c r="E12" s="129">
        <f>overheidsuitgaven_nominaal!I12/Inflatie!$D44</f>
        <v>16178.969398086823</v>
      </c>
      <c r="F12" s="7">
        <f>overheidsuitgaven_nominaal!J12/Inflatie!$D44</f>
        <v>5266.6222607656618</v>
      </c>
      <c r="G12" s="7">
        <f>overheidsuitgaven_nominaal!K12/Inflatie!$D44</f>
        <v>7454.1149941119957</v>
      </c>
      <c r="H12" s="7">
        <f>overheidsuitgaven_nominaal!L12/Inflatie!$D44</f>
        <v>20259.620535750113</v>
      </c>
      <c r="I12" s="7">
        <f>overheidsuitgaven_nominaal!M12/Inflatie!$D44</f>
        <v>6819.9226264966965</v>
      </c>
      <c r="J12" s="7">
        <f>overheidsuitgaven_nominaal!N12/Inflatie!$D44</f>
        <v>1826.4426230702973</v>
      </c>
      <c r="K12" s="7">
        <f>overheidsuitgaven_nominaal!O12/Inflatie!$D44</f>
        <v>23185.696212074166</v>
      </c>
      <c r="L12" s="7">
        <f>overheidsuitgaven_nominaal!P12/Inflatie!$D44</f>
        <v>6082.1245750630569</v>
      </c>
      <c r="M12" s="7">
        <f>overheidsuitgaven_nominaal!Q12/Inflatie!$D44</f>
        <v>22343.507585278105</v>
      </c>
      <c r="N12" s="7">
        <f>overheidsuitgaven_nominaal!R12/Inflatie!$D44</f>
        <v>65331.232562904712</v>
      </c>
      <c r="O12" s="130">
        <f t="shared" si="0"/>
        <v>174748.25337360165</v>
      </c>
      <c r="P12" s="130">
        <f t="shared" si="3"/>
        <v>177033.87016180798</v>
      </c>
      <c r="R12" s="10">
        <f t="shared" ref="R12:AB12" si="11">D12/D11-1</f>
        <v>1.3722624190277699E-3</v>
      </c>
      <c r="S12" s="10">
        <f t="shared" si="11"/>
        <v>3.9975564887906323E-2</v>
      </c>
      <c r="T12" s="10">
        <f t="shared" si="11"/>
        <v>-8.8894809035882316E-2</v>
      </c>
      <c r="U12" s="10">
        <f t="shared" si="11"/>
        <v>1.1215473119364994E-2</v>
      </c>
      <c r="V12" s="10">
        <f t="shared" si="11"/>
        <v>-2.0937642239417409E-2</v>
      </c>
      <c r="W12" s="10">
        <f t="shared" si="11"/>
        <v>2.1089382027823511E-3</v>
      </c>
      <c r="X12" s="10">
        <f t="shared" si="11"/>
        <v>-0.19815800318944965</v>
      </c>
      <c r="Y12" s="10">
        <f t="shared" si="11"/>
        <v>2.6358156052024961E-2</v>
      </c>
      <c r="Z12" s="10">
        <f t="shared" si="11"/>
        <v>5.5278729367798096E-3</v>
      </c>
      <c r="AA12" s="10">
        <f t="shared" si="11"/>
        <v>3.6628184662927943E-2</v>
      </c>
      <c r="AB12" s="10">
        <f t="shared" si="11"/>
        <v>-1.3287141726855412E-3</v>
      </c>
    </row>
    <row r="13" spans="1:28">
      <c r="A13" s="7">
        <v>2006</v>
      </c>
      <c r="B13" s="46">
        <v>554.38</v>
      </c>
      <c r="C13" s="11">
        <f>'AMECO Output Gap'!B43/100</f>
        <v>0</v>
      </c>
      <c r="D13" s="7">
        <f>overheidsuitgaven_nominaal!C13/Inflatie!$D45</f>
        <v>196129.31766802497</v>
      </c>
      <c r="E13" s="129">
        <f>overheidsuitgaven_nominaal!I13/Inflatie!$D45</f>
        <v>16947.471014798921</v>
      </c>
      <c r="F13" s="7">
        <f>overheidsuitgaven_nominaal!J13/Inflatie!$D45</f>
        <v>5740.9210081158599</v>
      </c>
      <c r="G13" s="7">
        <f>overheidsuitgaven_nominaal!K13/Inflatie!$D45</f>
        <v>7983.4682769111168</v>
      </c>
      <c r="H13" s="7">
        <f>overheidsuitgaven_nominaal!L13/Inflatie!$D45</f>
        <v>20714.1771342133</v>
      </c>
      <c r="I13" s="7">
        <f>overheidsuitgaven_nominaal!M13/Inflatie!$D45</f>
        <v>7128.9804382839584</v>
      </c>
      <c r="J13" s="7">
        <f>overheidsuitgaven_nominaal!N13/Inflatie!$D45</f>
        <v>2053.0906891901409</v>
      </c>
      <c r="K13" s="7">
        <f>overheidsuitgaven_nominaal!O13/Inflatie!$D45</f>
        <v>30039.307311593304</v>
      </c>
      <c r="L13" s="7">
        <f>overheidsuitgaven_nominaal!P13/Inflatie!$D45</f>
        <v>6343.3156020439646</v>
      </c>
      <c r="M13" s="7">
        <f>overheidsuitgaven_nominaal!Q13/Inflatie!$D45</f>
        <v>23492.615871034457</v>
      </c>
      <c r="N13" s="7">
        <f>overheidsuitgaven_nominaal!R13/Inflatie!$D45</f>
        <v>66580.455118369544</v>
      </c>
      <c r="O13" s="130">
        <f t="shared" si="0"/>
        <v>187023.80246455455</v>
      </c>
      <c r="P13" s="130">
        <f t="shared" si="3"/>
        <v>181421.00684053189</v>
      </c>
      <c r="R13" s="10">
        <f t="shared" ref="R13:AB13" si="12">D13/D12-1</f>
        <v>6.5167281962121404E-2</v>
      </c>
      <c r="S13" s="10">
        <f t="shared" si="12"/>
        <v>4.7500035249647743E-2</v>
      </c>
      <c r="T13" s="10">
        <f t="shared" si="12"/>
        <v>9.0057483500106672E-2</v>
      </c>
      <c r="U13" s="10">
        <f t="shared" si="12"/>
        <v>7.1014906963101199E-2</v>
      </c>
      <c r="V13" s="10">
        <f t="shared" si="12"/>
        <v>2.2436580076170554E-2</v>
      </c>
      <c r="W13" s="10">
        <f t="shared" si="12"/>
        <v>4.5316908814553525E-2</v>
      </c>
      <c r="X13" s="10">
        <f t="shared" si="12"/>
        <v>0.12409262861969483</v>
      </c>
      <c r="Y13" s="10">
        <f t="shared" si="12"/>
        <v>0.29559651937258002</v>
      </c>
      <c r="Z13" s="10">
        <f t="shared" si="12"/>
        <v>4.2944044265683212E-2</v>
      </c>
      <c r="AA13" s="10">
        <f t="shared" si="12"/>
        <v>5.1429180551467502E-2</v>
      </c>
      <c r="AB13" s="10">
        <f t="shared" si="12"/>
        <v>1.9121368240864189E-2</v>
      </c>
    </row>
    <row r="14" spans="1:28">
      <c r="A14" s="7">
        <v>2007</v>
      </c>
      <c r="B14" s="46">
        <v>587.53</v>
      </c>
      <c r="C14" s="11">
        <f>'AMECO Output Gap'!B44/100</f>
        <v>1.8000000000000002E-2</v>
      </c>
      <c r="D14" s="7">
        <f>overheidsuitgaven_nominaal!C14/Inflatie!$D46</f>
        <v>201414.80006749486</v>
      </c>
      <c r="E14" s="129">
        <f>overheidsuitgaven_nominaal!I14/Inflatie!$D46</f>
        <v>16591.878518710084</v>
      </c>
      <c r="F14" s="7">
        <f>overheidsuitgaven_nominaal!J14/Inflatie!$D46</f>
        <v>6002.7280213479999</v>
      </c>
      <c r="G14" s="7">
        <f>overheidsuitgaven_nominaal!K14/Inflatie!$D46</f>
        <v>8561.8298646920703</v>
      </c>
      <c r="H14" s="7">
        <f>overheidsuitgaven_nominaal!L14/Inflatie!$D46</f>
        <v>21046.49848835366</v>
      </c>
      <c r="I14" s="7">
        <f>overheidsuitgaven_nominaal!M14/Inflatie!$D46</f>
        <v>7367.9886653707963</v>
      </c>
      <c r="J14" s="7">
        <f>overheidsuitgaven_nominaal!N14/Inflatie!$D46</f>
        <v>2183.5027933980668</v>
      </c>
      <c r="K14" s="7">
        <f>overheidsuitgaven_nominaal!O14/Inflatie!$D46</f>
        <v>31690.503208020233</v>
      </c>
      <c r="L14" s="7">
        <f>overheidsuitgaven_nominaal!P14/Inflatie!$D46</f>
        <v>6242.7152439301317</v>
      </c>
      <c r="M14" s="7">
        <f>overheidsuitgaven_nominaal!Q14/Inflatie!$D46</f>
        <v>24250.89930797413</v>
      </c>
      <c r="N14" s="7">
        <f>overheidsuitgaven_nominaal!R14/Inflatie!$D46</f>
        <v>68199.797472649938</v>
      </c>
      <c r="O14" s="130">
        <f t="shared" si="0"/>
        <v>192138.3415844471</v>
      </c>
      <c r="P14" s="130">
        <f t="shared" si="3"/>
        <v>185808.1435192558</v>
      </c>
      <c r="R14" s="10">
        <f t="shared" ref="R14:AB14" si="13">D14/D13-1</f>
        <v>2.6948966438644639E-2</v>
      </c>
      <c r="S14" s="10">
        <f t="shared" si="13"/>
        <v>-2.0982038899982514E-2</v>
      </c>
      <c r="T14" s="10">
        <f t="shared" si="13"/>
        <v>4.5603660608119601E-2</v>
      </c>
      <c r="U14" s="10">
        <f t="shared" si="13"/>
        <v>7.2444903357808288E-2</v>
      </c>
      <c r="V14" s="10">
        <f t="shared" si="13"/>
        <v>1.6043183950158912E-2</v>
      </c>
      <c r="W14" s="10">
        <f t="shared" si="13"/>
        <v>3.352628460071494E-2</v>
      </c>
      <c r="X14" s="10">
        <f t="shared" si="13"/>
        <v>6.3519894612823036E-2</v>
      </c>
      <c r="Y14" s="10">
        <f t="shared" si="13"/>
        <v>5.4967841944533413E-2</v>
      </c>
      <c r="Z14" s="10">
        <f t="shared" si="13"/>
        <v>-1.5859270517994961E-2</v>
      </c>
      <c r="AA14" s="10">
        <f t="shared" si="13"/>
        <v>3.2277522482058174E-2</v>
      </c>
      <c r="AB14" s="10">
        <f t="shared" si="13"/>
        <v>2.432158733973E-2</v>
      </c>
    </row>
    <row r="15" spans="1:28">
      <c r="A15" s="7">
        <v>2008</v>
      </c>
      <c r="B15" s="46">
        <v>614.27</v>
      </c>
      <c r="C15" s="11">
        <f>'AMECO Output Gap'!B45/100</f>
        <v>2.2000000000000002E-2</v>
      </c>
      <c r="D15" s="7">
        <f>overheidsuitgaven_nominaal!C15/Inflatie!$D47</f>
        <v>209681.87496112325</v>
      </c>
      <c r="E15" s="129">
        <f>overheidsuitgaven_nominaal!I15/Inflatie!$D47</f>
        <v>17543.749561233501</v>
      </c>
      <c r="F15" s="7">
        <f>overheidsuitgaven_nominaal!J15/Inflatie!$D47</f>
        <v>6027.8218302088071</v>
      </c>
      <c r="G15" s="7">
        <f>overheidsuitgaven_nominaal!K15/Inflatie!$D47</f>
        <v>8842.6938597497992</v>
      </c>
      <c r="H15" s="7">
        <f>overheidsuitgaven_nominaal!L15/Inflatie!$D47</f>
        <v>22168.608160617056</v>
      </c>
      <c r="I15" s="7">
        <f>overheidsuitgaven_nominaal!M15/Inflatie!$D47</f>
        <v>7600.7508509533764</v>
      </c>
      <c r="J15" s="7">
        <f>overheidsuitgaven_nominaal!N15/Inflatie!$D47</f>
        <v>2624.0332478771952</v>
      </c>
      <c r="K15" s="7">
        <f>overheidsuitgaven_nominaal!O15/Inflatie!$D47</f>
        <v>31604.691357102722</v>
      </c>
      <c r="L15" s="7">
        <f>overheidsuitgaven_nominaal!P15/Inflatie!$D47</f>
        <v>6882.869027741518</v>
      </c>
      <c r="M15" s="7">
        <f>overheidsuitgaven_nominaal!Q15/Inflatie!$D47</f>
        <v>25269.738362653741</v>
      </c>
      <c r="N15" s="7">
        <f>overheidsuitgaven_nominaal!R15/Inflatie!$D47</f>
        <v>71264.866599592075</v>
      </c>
      <c r="O15" s="130">
        <f t="shared" si="0"/>
        <v>199829.8228577298</v>
      </c>
      <c r="P15" s="130">
        <f t="shared" si="3"/>
        <v>190195.28019797971</v>
      </c>
      <c r="R15" s="10">
        <f t="shared" ref="R15:AB15" si="14">D15/D14-1</f>
        <v>4.1045021968882489E-2</v>
      </c>
      <c r="S15" s="10">
        <f t="shared" si="14"/>
        <v>5.7369696954448157E-2</v>
      </c>
      <c r="T15" s="10">
        <f t="shared" si="14"/>
        <v>4.1804007730426029E-3</v>
      </c>
      <c r="U15" s="10">
        <f t="shared" si="14"/>
        <v>3.2804201846614367E-2</v>
      </c>
      <c r="V15" s="10">
        <f t="shared" si="14"/>
        <v>5.331574147045548E-2</v>
      </c>
      <c r="W15" s="10">
        <f t="shared" si="14"/>
        <v>3.1591007553601669E-2</v>
      </c>
      <c r="X15" s="10">
        <f t="shared" si="14"/>
        <v>0.20175401460950493</v>
      </c>
      <c r="Y15" s="10">
        <f t="shared" si="14"/>
        <v>-2.7078096663291085E-3</v>
      </c>
      <c r="Z15" s="10">
        <f t="shared" si="14"/>
        <v>0.10254412684189229</v>
      </c>
      <c r="AA15" s="10">
        <f t="shared" si="14"/>
        <v>4.2012423611218264E-2</v>
      </c>
      <c r="AB15" s="10">
        <f t="shared" si="14"/>
        <v>4.4942496026785461E-2</v>
      </c>
    </row>
    <row r="16" spans="1:28">
      <c r="A16" s="7">
        <v>2009</v>
      </c>
      <c r="B16" s="46">
        <v>592.72</v>
      </c>
      <c r="C16" s="11">
        <f>'AMECO Output Gap'!B46/100</f>
        <v>-2.6000000000000002E-2</v>
      </c>
      <c r="D16" s="7">
        <f>overheidsuitgaven_nominaal!C16/Inflatie!$D48</f>
        <v>221096.93602083568</v>
      </c>
      <c r="E16" s="129">
        <f>overheidsuitgaven_nominaal!I16/Inflatie!$D48</f>
        <v>15999.031439426039</v>
      </c>
      <c r="F16" s="7">
        <f>overheidsuitgaven_nominaal!J16/Inflatie!$D48</f>
        <v>6301.3502261309022</v>
      </c>
      <c r="G16" s="7">
        <f>overheidsuitgaven_nominaal!K16/Inflatie!$D48</f>
        <v>9280.2509309919405</v>
      </c>
      <c r="H16" s="7">
        <f>overheidsuitgaven_nominaal!L16/Inflatie!$D48</f>
        <v>25388.626939941649</v>
      </c>
      <c r="I16" s="7">
        <f>overheidsuitgaven_nominaal!M16/Inflatie!$D48</f>
        <v>8033.8706013539022</v>
      </c>
      <c r="J16" s="7">
        <f>overheidsuitgaven_nominaal!N16/Inflatie!$D48</f>
        <v>3407.4132070483902</v>
      </c>
      <c r="K16" s="7">
        <f>overheidsuitgaven_nominaal!O16/Inflatie!$D48</f>
        <v>34229.28314886208</v>
      </c>
      <c r="L16" s="7">
        <f>overheidsuitgaven_nominaal!P16/Inflatie!$D48</f>
        <v>7213.7863299263836</v>
      </c>
      <c r="M16" s="7">
        <f>overheidsuitgaven_nominaal!Q16/Inflatie!$D48</f>
        <v>26044.694357083663</v>
      </c>
      <c r="N16" s="7">
        <f>overheidsuitgaven_nominaal!R16/Inflatie!$D48</f>
        <v>75809.033339555128</v>
      </c>
      <c r="O16" s="130">
        <f t="shared" si="0"/>
        <v>211707.34052032005</v>
      </c>
      <c r="P16" s="130">
        <f t="shared" si="3"/>
        <v>194582.41687670362</v>
      </c>
      <c r="R16" s="10">
        <f t="shared" ref="R16:AB16" si="15">D16/D15-1</f>
        <v>5.4439903600770778E-2</v>
      </c>
      <c r="S16" s="10">
        <f t="shared" si="15"/>
        <v>-8.8049485454399834E-2</v>
      </c>
      <c r="T16" s="10">
        <f t="shared" si="15"/>
        <v>4.5377651102972205E-2</v>
      </c>
      <c r="U16" s="10">
        <f t="shared" si="15"/>
        <v>4.9482327238966617E-2</v>
      </c>
      <c r="V16" s="10">
        <f t="shared" si="15"/>
        <v>0.14525128307536317</v>
      </c>
      <c r="W16" s="10">
        <f t="shared" si="15"/>
        <v>5.6983811059429623E-2</v>
      </c>
      <c r="X16" s="10">
        <f t="shared" si="15"/>
        <v>0.29854040904586032</v>
      </c>
      <c r="Y16" s="10">
        <f t="shared" si="15"/>
        <v>8.3044373447725972E-2</v>
      </c>
      <c r="Z16" s="10">
        <f t="shared" si="15"/>
        <v>4.8078395920523542E-2</v>
      </c>
      <c r="AA16" s="10">
        <f t="shared" si="15"/>
        <v>3.066735331044157E-2</v>
      </c>
      <c r="AB16" s="10">
        <f t="shared" si="15"/>
        <v>6.376447409204955E-2</v>
      </c>
    </row>
    <row r="17" spans="1:28">
      <c r="A17" s="7">
        <v>2010</v>
      </c>
      <c r="B17" s="46">
        <v>605.83000000000004</v>
      </c>
      <c r="C17" s="11">
        <f>'AMECO Output Gap'!B47/100</f>
        <v>-1.9E-2</v>
      </c>
      <c r="D17" s="7">
        <f>overheidsuitgaven_nominaal!C17/Inflatie!$D49</f>
        <v>224989.89076782548</v>
      </c>
      <c r="E17" s="129">
        <f>overheidsuitgaven_nominaal!I17/Inflatie!$D49</f>
        <v>18173.671368220697</v>
      </c>
      <c r="F17" s="7">
        <f>overheidsuitgaven_nominaal!J17/Inflatie!$D49</f>
        <v>5938.2867641707098</v>
      </c>
      <c r="G17" s="7">
        <f>overheidsuitgaven_nominaal!K17/Inflatie!$D49</f>
        <v>9083.5471915631206</v>
      </c>
      <c r="H17" s="7">
        <f>overheidsuitgaven_nominaal!L17/Inflatie!$D49</f>
        <v>24737.502492486179</v>
      </c>
      <c r="I17" s="7">
        <f>overheidsuitgaven_nominaal!M17/Inflatie!$D49</f>
        <v>7618.3410677430038</v>
      </c>
      <c r="J17" s="7">
        <f>overheidsuitgaven_nominaal!N17/Inflatie!$D49</f>
        <v>3062.6827256509282</v>
      </c>
      <c r="K17" s="7">
        <f>overheidsuitgaven_nominaal!O17/Inflatie!$D49</f>
        <v>36227.495452497998</v>
      </c>
      <c r="L17" s="7">
        <f>overheidsuitgaven_nominaal!P17/Inflatie!$D49</f>
        <v>7091.4514840650463</v>
      </c>
      <c r="M17" s="7">
        <f>overheidsuitgaven_nominaal!Q17/Inflatie!$D49</f>
        <v>26326.940556979323</v>
      </c>
      <c r="N17" s="7">
        <f>overheidsuitgaven_nominaal!R17/Inflatie!$D49</f>
        <v>78401.316206504373</v>
      </c>
      <c r="O17" s="130">
        <f t="shared" si="0"/>
        <v>216661.23530988139</v>
      </c>
      <c r="P17" s="130">
        <f t="shared" si="3"/>
        <v>198969.55355542753</v>
      </c>
      <c r="R17" s="10">
        <f t="shared" ref="R17:AB17" si="16">D17/D16-1</f>
        <v>1.7607456788197862E-2</v>
      </c>
      <c r="S17" s="10">
        <f t="shared" si="16"/>
        <v>0.13592322366688681</v>
      </c>
      <c r="T17" s="10">
        <f t="shared" si="16"/>
        <v>-5.7616772426743457E-2</v>
      </c>
      <c r="U17" s="10">
        <f t="shared" si="16"/>
        <v>-2.1195950507320482E-2</v>
      </c>
      <c r="V17" s="10">
        <f t="shared" si="16"/>
        <v>-2.5646304110724216E-2</v>
      </c>
      <c r="W17" s="10">
        <f t="shared" si="16"/>
        <v>-5.1722208911464396E-2</v>
      </c>
      <c r="X17" s="10">
        <f t="shared" si="16"/>
        <v>-0.10117072994973764</v>
      </c>
      <c r="Y17" s="10">
        <f t="shared" si="16"/>
        <v>5.83772758239125E-2</v>
      </c>
      <c r="Z17" s="10">
        <f t="shared" si="16"/>
        <v>-1.6958479259890358E-2</v>
      </c>
      <c r="AA17" s="10">
        <f t="shared" si="16"/>
        <v>1.0836994131163458E-2</v>
      </c>
      <c r="AB17" s="10">
        <f t="shared" si="16"/>
        <v>3.4194907292092624E-2</v>
      </c>
    </row>
    <row r="18" spans="1:28">
      <c r="A18" s="7">
        <v>2011</v>
      </c>
      <c r="B18" s="46">
        <v>616.76</v>
      </c>
      <c r="C18" s="11">
        <f>'AMECO Output Gap'!B48/100</f>
        <v>-1.2E-2</v>
      </c>
      <c r="D18" s="7">
        <f>overheidsuitgaven_nominaal!C18/Inflatie!$D50</f>
        <v>219255.00288080503</v>
      </c>
      <c r="E18" s="129">
        <f>overheidsuitgaven_nominaal!I18/Inflatie!$D50</f>
        <v>16433.16714946193</v>
      </c>
      <c r="F18" s="7">
        <f>overheidsuitgaven_nominaal!J18/Inflatie!$D50</f>
        <v>5797.5859040917821</v>
      </c>
      <c r="G18" s="7">
        <f>overheidsuitgaven_nominaal!K18/Inflatie!$D50</f>
        <v>8835.8126562484158</v>
      </c>
      <c r="H18" s="7">
        <f>overheidsuitgaven_nominaal!L18/Inflatie!$D50</f>
        <v>22971.539806962577</v>
      </c>
      <c r="I18" s="7">
        <f>overheidsuitgaven_nominaal!M18/Inflatie!$D50</f>
        <v>7384.2710448391508</v>
      </c>
      <c r="J18" s="7">
        <f>overheidsuitgaven_nominaal!N18/Inflatie!$D50</f>
        <v>2427.57821218446</v>
      </c>
      <c r="K18" s="7">
        <f>overheidsuitgaven_nominaal!O18/Inflatie!$D50</f>
        <v>36647.492939875679</v>
      </c>
      <c r="L18" s="7">
        <f>overheidsuitgaven_nominaal!P18/Inflatie!$D50</f>
        <v>6743.5906094585098</v>
      </c>
      <c r="M18" s="7">
        <f>overheidsuitgaven_nominaal!Q18/Inflatie!$D50</f>
        <v>25609.341287006311</v>
      </c>
      <c r="N18" s="7">
        <f>overheidsuitgaven_nominaal!R18/Inflatie!$D50</f>
        <v>78075.062565599103</v>
      </c>
      <c r="O18" s="130">
        <f t="shared" si="0"/>
        <v>210925.44217572792</v>
      </c>
      <c r="P18" s="130">
        <f t="shared" si="3"/>
        <v>203356.69023415144</v>
      </c>
      <c r="R18" s="10">
        <f t="shared" ref="R18:AB18" si="17">D18/D17-1</f>
        <v>-2.5489535851806244E-2</v>
      </c>
      <c r="S18" s="10">
        <f t="shared" si="17"/>
        <v>-9.5770644439091779E-2</v>
      </c>
      <c r="T18" s="10">
        <f t="shared" si="17"/>
        <v>-2.3693847344635088E-2</v>
      </c>
      <c r="U18" s="10">
        <f t="shared" si="17"/>
        <v>-2.7272884710149659E-2</v>
      </c>
      <c r="V18" s="10">
        <f t="shared" si="17"/>
        <v>-7.1388075092059133E-2</v>
      </c>
      <c r="W18" s="10">
        <f t="shared" si="17"/>
        <v>-3.0724539741983192E-2</v>
      </c>
      <c r="X18" s="10">
        <f t="shared" si="17"/>
        <v>-0.20736869286108839</v>
      </c>
      <c r="Y18" s="10">
        <f t="shared" si="17"/>
        <v>1.1593334900238617E-2</v>
      </c>
      <c r="Z18" s="10">
        <f t="shared" si="17"/>
        <v>-4.9053550657182421E-2</v>
      </c>
      <c r="AA18" s="10">
        <f t="shared" si="17"/>
        <v>-2.7257222251857005E-2</v>
      </c>
      <c r="AB18" s="10">
        <f t="shared" si="17"/>
        <v>-4.1613286191004573E-3</v>
      </c>
    </row>
    <row r="19" spans="1:28">
      <c r="A19" s="7">
        <v>2012</v>
      </c>
      <c r="B19" s="46">
        <v>619.14</v>
      </c>
      <c r="C19" s="11">
        <f>'AMECO Output Gap'!B49/100</f>
        <v>-2.6000000000000002E-2</v>
      </c>
      <c r="D19" s="7">
        <f>overheidsuitgaven_nominaal!C19/Inflatie!$D51</f>
        <v>215033.88978830515</v>
      </c>
      <c r="E19" s="129">
        <f>overheidsuitgaven_nominaal!I19/Inflatie!$D51</f>
        <v>16115.478411553722</v>
      </c>
      <c r="F19" s="7">
        <f>overheidsuitgaven_nominaal!J19/Inflatie!$D51</f>
        <v>5235.0267752972095</v>
      </c>
      <c r="G19" s="7">
        <f>overheidsuitgaven_nominaal!K19/Inflatie!$D51</f>
        <v>8788.5419402280513</v>
      </c>
      <c r="H19" s="7">
        <f>overheidsuitgaven_nominaal!L19/Inflatie!$D51</f>
        <v>21146.706820080166</v>
      </c>
      <c r="I19" s="7">
        <f>overheidsuitgaven_nominaal!M19/Inflatie!$D51</f>
        <v>7071.3130903245383</v>
      </c>
      <c r="J19" s="7">
        <f>overheidsuitgaven_nominaal!N19/Inflatie!$D51</f>
        <v>2540.1260353181242</v>
      </c>
      <c r="K19" s="7">
        <f>overheidsuitgaven_nominaal!O19/Inflatie!$D51</f>
        <v>37176.043653926659</v>
      </c>
      <c r="L19" s="7">
        <f>overheidsuitgaven_nominaal!P19/Inflatie!$D51</f>
        <v>6375.1770883652835</v>
      </c>
      <c r="M19" s="7">
        <f>overheidsuitgaven_nominaal!Q19/Inflatie!$D51</f>
        <v>25239.482268218879</v>
      </c>
      <c r="N19" s="7">
        <f>overheidsuitgaven_nominaal!R19/Inflatie!$D51</f>
        <v>77674.490922837926</v>
      </c>
      <c r="O19" s="130">
        <f t="shared" si="0"/>
        <v>207362.38700615056</v>
      </c>
      <c r="P19" s="130">
        <f t="shared" si="3"/>
        <v>207743.82691287535</v>
      </c>
      <c r="R19" s="10">
        <f t="shared" ref="R19:AB19" si="18">D19/D18-1</f>
        <v>-1.9252071957485128E-2</v>
      </c>
      <c r="S19" s="10">
        <f t="shared" si="18"/>
        <v>-1.9332167379470078E-2</v>
      </c>
      <c r="T19" s="10">
        <f t="shared" si="18"/>
        <v>-9.7033340790609657E-2</v>
      </c>
      <c r="U19" s="10">
        <f t="shared" si="18"/>
        <v>-5.3499002139815177E-3</v>
      </c>
      <c r="V19" s="10">
        <f t="shared" si="18"/>
        <v>-7.9438862271187904E-2</v>
      </c>
      <c r="W19" s="10">
        <f t="shared" si="18"/>
        <v>-4.2381699238049797E-2</v>
      </c>
      <c r="X19" s="10">
        <f t="shared" si="18"/>
        <v>4.6362182099330962E-2</v>
      </c>
      <c r="Y19" s="10">
        <f t="shared" si="18"/>
        <v>1.4422561317308347E-2</v>
      </c>
      <c r="Z19" s="10">
        <f t="shared" si="18"/>
        <v>-5.4631655809071811E-2</v>
      </c>
      <c r="AA19" s="10">
        <f t="shared" si="18"/>
        <v>-1.444234799491273E-2</v>
      </c>
      <c r="AB19" s="10">
        <f t="shared" si="18"/>
        <v>-5.1305965003181075E-3</v>
      </c>
    </row>
    <row r="20" spans="1:28">
      <c r="A20" s="7">
        <v>2013</v>
      </c>
      <c r="B20" s="46">
        <v>626.55999999999995</v>
      </c>
      <c r="C20" s="11">
        <f>'AMECO Output Gap'!B50/100</f>
        <v>-3.1E-2</v>
      </c>
      <c r="D20" s="7">
        <f>overheidsuitgaven_nominaal!C20/Inflatie!$D52</f>
        <v>213881.71343374226</v>
      </c>
      <c r="E20" s="129">
        <f>overheidsuitgaven_nominaal!I20/Inflatie!$D52</f>
        <v>16265.402601289254</v>
      </c>
      <c r="F20" s="7">
        <f>overheidsuitgaven_nominaal!J20/Inflatie!$D52</f>
        <v>5187.2026062597561</v>
      </c>
      <c r="G20" s="7">
        <f>overheidsuitgaven_nominaal!K20/Inflatie!$D52</f>
        <v>8965.4329465515802</v>
      </c>
      <c r="H20" s="7">
        <f>overheidsuitgaven_nominaal!L20/Inflatie!$D52</f>
        <v>20706.638046126343</v>
      </c>
      <c r="I20" s="7">
        <f>overheidsuitgaven_nominaal!M20/Inflatie!$D52</f>
        <v>7008.9111051927766</v>
      </c>
      <c r="J20" s="7">
        <f>overheidsuitgaven_nominaal!N20/Inflatie!$D52</f>
        <v>2557.3054032460132</v>
      </c>
      <c r="K20" s="7">
        <f>overheidsuitgaven_nominaal!O20/Inflatie!$D52</f>
        <v>36678.216695974785</v>
      </c>
      <c r="L20" s="7">
        <f>overheidsuitgaven_nominaal!P20/Inflatie!$D52</f>
        <v>6175.8337840488339</v>
      </c>
      <c r="M20" s="7">
        <f>overheidsuitgaven_nominaal!Q20/Inflatie!$D52</f>
        <v>24728.223753258557</v>
      </c>
      <c r="N20" s="7">
        <f>overheidsuitgaven_nominaal!R20/Inflatie!$D52</f>
        <v>78491.093362186977</v>
      </c>
      <c r="O20" s="130">
        <f t="shared" si="0"/>
        <v>206764.26030413486</v>
      </c>
      <c r="P20" s="130">
        <f t="shared" si="3"/>
        <v>212130.96359159925</v>
      </c>
      <c r="R20" s="10">
        <f t="shared" ref="R20:AB20" si="19">D20/D19-1</f>
        <v>-5.3581152054551495E-3</v>
      </c>
      <c r="S20" s="10">
        <f t="shared" si="19"/>
        <v>9.3031175312825454E-3</v>
      </c>
      <c r="T20" s="10">
        <f t="shared" si="19"/>
        <v>-9.1354201401842028E-3</v>
      </c>
      <c r="U20" s="10">
        <f t="shared" si="19"/>
        <v>2.0127457720130026E-2</v>
      </c>
      <c r="V20" s="10">
        <f t="shared" si="19"/>
        <v>-2.0810274512150007E-2</v>
      </c>
      <c r="W20" s="10">
        <f t="shared" si="19"/>
        <v>-8.824667262597119E-3</v>
      </c>
      <c r="X20" s="10">
        <f t="shared" si="19"/>
        <v>6.7631950891513526E-3</v>
      </c>
      <c r="Y20" s="10">
        <f t="shared" si="19"/>
        <v>-1.3391068791132499E-2</v>
      </c>
      <c r="Z20" s="10">
        <f t="shared" si="19"/>
        <v>-3.1268669333162746E-2</v>
      </c>
      <c r="AA20" s="10">
        <f t="shared" si="19"/>
        <v>-2.0256299615309059E-2</v>
      </c>
      <c r="AB20" s="10">
        <f t="shared" si="19"/>
        <v>1.051313538907217E-2</v>
      </c>
    </row>
    <row r="21" spans="1:28">
      <c r="A21" s="7">
        <v>2014</v>
      </c>
      <c r="B21" s="46">
        <v>637.24</v>
      </c>
      <c r="C21" s="11">
        <f>'AMECO Output Gap'!B51/100</f>
        <v>-2.2000000000000002E-2</v>
      </c>
      <c r="D21" s="7">
        <f>overheidsuitgaven_nominaal!C21/Inflatie!$D53</f>
        <v>212689.23145237935</v>
      </c>
      <c r="E21" s="129">
        <f>overheidsuitgaven_nominaal!I21/Inflatie!$D53</f>
        <v>17007.496550712574</v>
      </c>
      <c r="F21" s="7">
        <f>overheidsuitgaven_nominaal!J21/Inflatie!$D53</f>
        <v>5008.511187231019</v>
      </c>
      <c r="G21" s="7">
        <f>overheidsuitgaven_nominaal!K21/Inflatie!$D53</f>
        <v>8623.3257927243176</v>
      </c>
      <c r="H21" s="7">
        <f>overheidsuitgaven_nominaal!L21/Inflatie!$D53</f>
        <v>20058.784924931253</v>
      </c>
      <c r="I21" s="7">
        <f>overheidsuitgaven_nominaal!M21/Inflatie!$D53</f>
        <v>6569.2039570171937</v>
      </c>
      <c r="J21" s="7">
        <f>overheidsuitgaven_nominaal!N21/Inflatie!$D53</f>
        <v>2348.9422664593335</v>
      </c>
      <c r="K21" s="7">
        <f>overheidsuitgaven_nominaal!O21/Inflatie!$D53</f>
        <v>36748.78255021837</v>
      </c>
      <c r="L21" s="7">
        <f>overheidsuitgaven_nominaal!P21/Inflatie!$D53</f>
        <v>5801.5712736833511</v>
      </c>
      <c r="M21" s="7">
        <f>overheidsuitgaven_nominaal!Q21/Inflatie!$D53</f>
        <v>25090.66183394683</v>
      </c>
      <c r="N21" s="7">
        <f>overheidsuitgaven_nominaal!R21/Inflatie!$D53</f>
        <v>78657.95347926738</v>
      </c>
      <c r="O21" s="130">
        <f t="shared" si="0"/>
        <v>205915.23381619161</v>
      </c>
      <c r="P21" s="130">
        <f t="shared" si="3"/>
        <v>216518.10027032316</v>
      </c>
      <c r="R21" s="10">
        <f t="shared" ref="R21:AB21" si="20">D21/D20-1</f>
        <v>-5.5754274744592713E-3</v>
      </c>
      <c r="S21" s="10">
        <f t="shared" si="20"/>
        <v>4.5624075076045045E-2</v>
      </c>
      <c r="T21" s="10">
        <f t="shared" si="20"/>
        <v>-3.4448513503809841E-2</v>
      </c>
      <c r="U21" s="10">
        <f t="shared" si="20"/>
        <v>-3.815846438948034E-2</v>
      </c>
      <c r="V21" s="10">
        <f t="shared" si="20"/>
        <v>-3.1287219091381435E-2</v>
      </c>
      <c r="W21" s="10">
        <f t="shared" si="20"/>
        <v>-6.2735443719611705E-2</v>
      </c>
      <c r="X21" s="10">
        <f t="shared" si="20"/>
        <v>-8.1477611755796597E-2</v>
      </c>
      <c r="Y21" s="10">
        <f t="shared" si="20"/>
        <v>1.9239172620768574E-3</v>
      </c>
      <c r="Z21" s="10">
        <f t="shared" si="20"/>
        <v>-6.0601130705969064E-2</v>
      </c>
      <c r="AA21" s="10">
        <f t="shared" si="20"/>
        <v>1.4656858669054751E-2</v>
      </c>
      <c r="AB21" s="10">
        <f t="shared" si="20"/>
        <v>2.1258477864545267E-3</v>
      </c>
    </row>
    <row r="22" spans="1:28">
      <c r="A22" s="7">
        <v>2015</v>
      </c>
      <c r="B22" s="46">
        <v>655.17999999999995</v>
      </c>
      <c r="C22" s="11">
        <f>'AMECO Output Gap'!B52/100</f>
        <v>-1.7000000000000001E-2</v>
      </c>
      <c r="D22" s="7">
        <f>overheidsuitgaven_nominaal!C22/Inflatie!$D54</f>
        <v>211614.66467831636</v>
      </c>
      <c r="E22" s="129">
        <f>overheidsuitgaven_nominaal!I22/Inflatie!$D54</f>
        <v>16981.689634114708</v>
      </c>
      <c r="F22" s="7">
        <f>overheidsuitgaven_nominaal!J22/Inflatie!$D54</f>
        <v>5270.792610926801</v>
      </c>
      <c r="G22" s="7">
        <f>overheidsuitgaven_nominaal!K22/Inflatie!$D54</f>
        <v>8910.0191645532195</v>
      </c>
      <c r="H22" s="7">
        <f>overheidsuitgaven_nominaal!L22/Inflatie!$D54</f>
        <v>18674.798417801107</v>
      </c>
      <c r="I22" s="7">
        <f>overheidsuitgaven_nominaal!M22/Inflatie!$D54</f>
        <v>6373.0912213074444</v>
      </c>
      <c r="J22" s="7">
        <f>overheidsuitgaven_nominaal!N22/Inflatie!$D54</f>
        <v>2251.0961695862775</v>
      </c>
      <c r="K22" s="7">
        <f>overheidsuitgaven_nominaal!O22/Inflatie!$D54</f>
        <v>36424.404515599104</v>
      </c>
      <c r="L22" s="7">
        <f>overheidsuitgaven_nominaal!P22/Inflatie!$D54</f>
        <v>6076.3185185126558</v>
      </c>
      <c r="M22" s="7">
        <f>overheidsuitgaven_nominaal!Q22/Inflatie!$D54</f>
        <v>25013.015427489809</v>
      </c>
      <c r="N22" s="7">
        <f>overheidsuitgaven_nominaal!R22/Inflatie!$D54</f>
        <v>79498.842521242725</v>
      </c>
      <c r="O22" s="130">
        <f t="shared" si="0"/>
        <v>205474.06820113386</v>
      </c>
      <c r="P22" s="130">
        <f t="shared" si="3"/>
        <v>220905.23694904707</v>
      </c>
      <c r="R22" s="10">
        <f t="shared" ref="R22:AB22" si="21">D22/D21-1</f>
        <v>-5.052285753844532E-3</v>
      </c>
      <c r="S22" s="10">
        <f t="shared" si="21"/>
        <v>-1.5173847909312199E-3</v>
      </c>
      <c r="T22" s="10">
        <f t="shared" si="21"/>
        <v>5.2367143426664819E-2</v>
      </c>
      <c r="U22" s="10">
        <f t="shared" si="21"/>
        <v>3.3246264691842109E-2</v>
      </c>
      <c r="V22" s="10">
        <f t="shared" si="21"/>
        <v>-6.8996527571815958E-2</v>
      </c>
      <c r="W22" s="10">
        <f t="shared" si="21"/>
        <v>-2.9853348593365303E-2</v>
      </c>
      <c r="X22" s="10">
        <f t="shared" si="21"/>
        <v>-4.1655386030642561E-2</v>
      </c>
      <c r="Y22" s="10">
        <f t="shared" si="21"/>
        <v>-8.8269056036344162E-3</v>
      </c>
      <c r="Z22" s="10">
        <f t="shared" si="21"/>
        <v>4.7357385071798097E-2</v>
      </c>
      <c r="AA22" s="10">
        <f t="shared" si="21"/>
        <v>-3.0946336517901907E-3</v>
      </c>
      <c r="AB22" s="10">
        <f t="shared" si="21"/>
        <v>1.0690451566312209E-2</v>
      </c>
    </row>
    <row r="23" spans="1:28">
      <c r="A23" s="7">
        <v>2016</v>
      </c>
      <c r="B23" s="46">
        <v>672.94</v>
      </c>
      <c r="C23" s="11">
        <f>'AMECO Output Gap'!B53/100</f>
        <v>-8.0000000000000002E-3</v>
      </c>
      <c r="D23" s="7">
        <f>overheidsuitgaven_nominaal!C23/Inflatie!$D55</f>
        <v>210778.55421053994</v>
      </c>
      <c r="E23" s="129">
        <f>overheidsuitgaven_nominaal!I23/Inflatie!$D55</f>
        <v>15225.126461199863</v>
      </c>
      <c r="F23" s="7">
        <f>overheidsuitgaven_nominaal!J23/Inflatie!$D55</f>
        <v>5464.3287026024045</v>
      </c>
      <c r="G23" s="7">
        <f>overheidsuitgaven_nominaal!K23/Inflatie!$D55</f>
        <v>9095.3972827721373</v>
      </c>
      <c r="H23" s="7">
        <f>overheidsuitgaven_nominaal!L23/Inflatie!$D55</f>
        <v>18861.649143630457</v>
      </c>
      <c r="I23" s="7">
        <f>overheidsuitgaven_nominaal!M23/Inflatie!$D55</f>
        <v>6699.6828646879385</v>
      </c>
      <c r="J23" s="7">
        <f>overheidsuitgaven_nominaal!N23/Inflatie!$D55</f>
        <v>2018.0178365194158</v>
      </c>
      <c r="K23" s="7">
        <f>overheidsuitgaven_nominaal!O23/Inflatie!$D55</f>
        <v>35009.882412481435</v>
      </c>
      <c r="L23" s="7">
        <f>overheidsuitgaven_nominaal!P23/Inflatie!$D55</f>
        <v>6180.1796243407107</v>
      </c>
      <c r="M23" s="7">
        <f>overheidsuitgaven_nominaal!Q23/Inflatie!$D55</f>
        <v>25482.929288318486</v>
      </c>
      <c r="N23" s="7">
        <f>overheidsuitgaven_nominaal!R23/Inflatie!$D55</f>
        <v>81184.312152950006</v>
      </c>
      <c r="O23" s="130">
        <f t="shared" si="0"/>
        <v>205221.50576950284</v>
      </c>
      <c r="P23" s="130">
        <f t="shared" si="3"/>
        <v>225292.37362777098</v>
      </c>
      <c r="R23" s="10">
        <f t="shared" ref="R23:AB23" si="22">D23/D22-1</f>
        <v>-3.9510988950006709E-3</v>
      </c>
      <c r="S23" s="10">
        <f t="shared" si="22"/>
        <v>-0.10343865721029699</v>
      </c>
      <c r="T23" s="10">
        <f t="shared" si="22"/>
        <v>3.671859357061158E-2</v>
      </c>
      <c r="U23" s="10">
        <f t="shared" si="22"/>
        <v>2.0805580189592554E-2</v>
      </c>
      <c r="V23" s="10">
        <f t="shared" si="22"/>
        <v>1.0005501620367729E-2</v>
      </c>
      <c r="W23" s="10">
        <f t="shared" si="22"/>
        <v>5.1245405414657386E-2</v>
      </c>
      <c r="X23" s="10">
        <f t="shared" si="22"/>
        <v>-0.10353992699907555</v>
      </c>
      <c r="Y23" s="10">
        <f t="shared" si="22"/>
        <v>-3.8834460629600276E-2</v>
      </c>
      <c r="Z23" s="10">
        <f t="shared" si="22"/>
        <v>1.7092768509685996E-2</v>
      </c>
      <c r="AA23" s="10">
        <f t="shared" si="22"/>
        <v>1.8786773717503591E-2</v>
      </c>
      <c r="AB23" s="10">
        <f t="shared" si="22"/>
        <v>2.1201184548780283E-2</v>
      </c>
    </row>
    <row r="24" spans="1:28">
      <c r="A24" s="7">
        <v>2017</v>
      </c>
      <c r="B24" s="46">
        <v>701.46</v>
      </c>
      <c r="C24" s="11">
        <f>'AMECO Output Gap'!B54/100</f>
        <v>6.0000000000000001E-3</v>
      </c>
      <c r="D24" s="7">
        <f>overheidsuitgaven_nominaal!C24/Inflatie!$D56</f>
        <v>210721.17721611963</v>
      </c>
      <c r="E24" s="129">
        <f>overheidsuitgaven_nominaal!I24/Inflatie!$D56</f>
        <v>15024.330512974726</v>
      </c>
      <c r="F24" s="7">
        <f>overheidsuitgaven_nominaal!J24/Inflatie!$D56</f>
        <v>5735.8168623551146</v>
      </c>
      <c r="G24" s="7">
        <f>overheidsuitgaven_nominaal!K24/Inflatie!$D56</f>
        <v>8908.6359660303915</v>
      </c>
      <c r="H24" s="7">
        <f>overheidsuitgaven_nominaal!L24/Inflatie!$D56</f>
        <v>18759.906469749432</v>
      </c>
      <c r="I24" s="7">
        <f>overheidsuitgaven_nominaal!M24/Inflatie!$D56</f>
        <v>6705.3453954129127</v>
      </c>
      <c r="J24" s="7">
        <f>overheidsuitgaven_nominaal!N24/Inflatie!$D56</f>
        <v>1850.3068813974066</v>
      </c>
      <c r="K24" s="7">
        <f>overheidsuitgaven_nominaal!O24/Inflatie!$D56</f>
        <v>36167.044972430704</v>
      </c>
      <c r="L24" s="7">
        <f>overheidsuitgaven_nominaal!P24/Inflatie!$D56</f>
        <v>6217.8917293470986</v>
      </c>
      <c r="M24" s="7">
        <f>overheidsuitgaven_nominaal!Q24/Inflatie!$D56</f>
        <v>25445.753718519714</v>
      </c>
      <c r="N24" s="7">
        <f>overheidsuitgaven_nominaal!R24/Inflatie!$D56</f>
        <v>80933.444964146591</v>
      </c>
      <c r="O24" s="130">
        <f t="shared" si="0"/>
        <v>205748.47747236409</v>
      </c>
      <c r="P24" s="130">
        <f t="shared" si="3"/>
        <v>229679.51030649489</v>
      </c>
      <c r="R24" s="10">
        <f t="shared" ref="R24:AB24" si="23">D24/D23-1</f>
        <v>-2.7221457436787944E-4</v>
      </c>
      <c r="S24" s="10">
        <f t="shared" si="23"/>
        <v>-1.3188458482551901E-2</v>
      </c>
      <c r="T24" s="10">
        <f t="shared" si="23"/>
        <v>4.9683716798261557E-2</v>
      </c>
      <c r="U24" s="10">
        <f t="shared" si="23"/>
        <v>-2.0533607376941765E-2</v>
      </c>
      <c r="V24" s="10">
        <f t="shared" si="23"/>
        <v>-5.3941557870289536E-3</v>
      </c>
      <c r="W24" s="10">
        <f t="shared" si="23"/>
        <v>8.451938456399688E-4</v>
      </c>
      <c r="X24" s="10">
        <f t="shared" si="23"/>
        <v>-8.310677541446776E-2</v>
      </c>
      <c r="Y24" s="10">
        <f t="shared" si="23"/>
        <v>3.3052454913036877E-2</v>
      </c>
      <c r="Z24" s="10">
        <f t="shared" si="23"/>
        <v>6.1021050032037394E-3</v>
      </c>
      <c r="AA24" s="10">
        <f t="shared" si="23"/>
        <v>-1.4588420890769838E-3</v>
      </c>
      <c r="AB24" s="10">
        <f t="shared" si="23"/>
        <v>-3.090094405564292E-3</v>
      </c>
    </row>
    <row r="25" spans="1:28">
      <c r="A25" s="7">
        <v>2018</v>
      </c>
      <c r="B25" s="46">
        <v>735.53</v>
      </c>
      <c r="C25" s="11">
        <f>'AMECO Output Gap'!B55/100</f>
        <v>1.3000000000000001E-2</v>
      </c>
      <c r="D25" s="7">
        <f>overheidsuitgaven_nominaal!C25/Inflatie!$D57</f>
        <v>216981.36465988011</v>
      </c>
      <c r="E25" s="129">
        <f>overheidsuitgaven_nominaal!I25/Inflatie!$D57</f>
        <v>16152.310828216318</v>
      </c>
      <c r="F25" s="7">
        <f>overheidsuitgaven_nominaal!J25/Inflatie!$D57</f>
        <v>6016.6694768158814</v>
      </c>
      <c r="G25" s="7">
        <f>overheidsuitgaven_nominaal!K25/Inflatie!$D57</f>
        <v>9418.8659817246626</v>
      </c>
      <c r="H25" s="7">
        <f>overheidsuitgaven_nominaal!L25/Inflatie!$D57</f>
        <v>19507.429579890151</v>
      </c>
      <c r="I25" s="7">
        <f>overheidsuitgaven_nominaal!M25/Inflatie!$D57</f>
        <v>7060.9999182953852</v>
      </c>
      <c r="J25" s="7">
        <f>overheidsuitgaven_nominaal!N25/Inflatie!$D57</f>
        <v>2291.5593687321675</v>
      </c>
      <c r="K25" s="7">
        <f>overheidsuitgaven_nominaal!O25/Inflatie!$D57</f>
        <v>37699.997403936584</v>
      </c>
      <c r="L25" s="7">
        <f>overheidsuitgaven_nominaal!P25/Inflatie!$D57</f>
        <v>6551.7645030215699</v>
      </c>
      <c r="M25" s="7">
        <f>overheidsuitgaven_nominaal!Q25/Inflatie!$D57</f>
        <v>25951.114170555429</v>
      </c>
      <c r="N25" s="7">
        <f>overheidsuitgaven_nominaal!R25/Inflatie!$D57</f>
        <v>81733.610285341245</v>
      </c>
      <c r="O25" s="130">
        <f t="shared" si="0"/>
        <v>212384.3215165294</v>
      </c>
      <c r="P25" s="130">
        <f t="shared" si="3"/>
        <v>234066.6469852188</v>
      </c>
      <c r="R25" s="10">
        <f t="shared" ref="R25:AB25" si="24">D25/D24-1</f>
        <v>2.9708392514056214E-2</v>
      </c>
      <c r="S25" s="10">
        <f t="shared" si="24"/>
        <v>7.5076910366654204E-2</v>
      </c>
      <c r="T25" s="10">
        <f t="shared" si="24"/>
        <v>4.8964710903522279E-2</v>
      </c>
      <c r="U25" s="10">
        <f t="shared" si="24"/>
        <v>5.7273640727922182E-2</v>
      </c>
      <c r="V25" s="10">
        <f t="shared" si="24"/>
        <v>3.984684632336033E-2</v>
      </c>
      <c r="W25" s="10">
        <f t="shared" si="24"/>
        <v>5.3040447868020868E-2</v>
      </c>
      <c r="X25" s="10">
        <f t="shared" si="24"/>
        <v>0.23847529929819755</v>
      </c>
      <c r="Y25" s="10">
        <f t="shared" si="24"/>
        <v>4.2385338162805875E-2</v>
      </c>
      <c r="Z25" s="10">
        <f t="shared" si="24"/>
        <v>5.369549490523684E-2</v>
      </c>
      <c r="AA25" s="10">
        <f t="shared" si="24"/>
        <v>1.9860305873663719E-2</v>
      </c>
      <c r="AB25" s="10">
        <f t="shared" si="24"/>
        <v>9.8867077948940896E-3</v>
      </c>
    </row>
    <row r="26" spans="1:28">
      <c r="A26" s="7">
        <v>2019</v>
      </c>
      <c r="B26" s="46">
        <v>772.75</v>
      </c>
      <c r="C26" s="11">
        <f>'AMECO Output Gap'!B56/100</f>
        <v>1.3999999999999999E-2</v>
      </c>
      <c r="D26" s="7">
        <f>overheidsuitgaven_nominaal!C26/Inflatie!$D58</f>
        <v>223519.4762489936</v>
      </c>
      <c r="E26" s="129">
        <f>overheidsuitgaven_nominaal!I26/Inflatie!$D58</f>
        <v>17017.848138994832</v>
      </c>
      <c r="F26" s="7">
        <f>overheidsuitgaven_nominaal!J26/Inflatie!$D58</f>
        <v>6526.2494780621382</v>
      </c>
      <c r="G26" s="7">
        <f>overheidsuitgaven_nominaal!K26/Inflatie!$D58</f>
        <v>9797.2057164668822</v>
      </c>
      <c r="H26" s="7">
        <f>overheidsuitgaven_nominaal!L26/Inflatie!$D58</f>
        <v>20388.655994413926</v>
      </c>
      <c r="I26" s="7">
        <f>overheidsuitgaven_nominaal!M26/Inflatie!$D58</f>
        <v>7248.0526703358109</v>
      </c>
      <c r="J26" s="7">
        <f>overheidsuitgaven_nominaal!N26/Inflatie!$D58</f>
        <v>2372.2916852755875</v>
      </c>
      <c r="K26" s="7">
        <f>overheidsuitgaven_nominaal!O26/Inflatie!$D58</f>
        <v>39051.119001880419</v>
      </c>
      <c r="L26" s="7">
        <f>overheidsuitgaven_nominaal!P26/Inflatie!$D58</f>
        <v>6478.6078568722851</v>
      </c>
      <c r="M26" s="7">
        <f>overheidsuitgaven_nominaal!Q26/Inflatie!$D58</f>
        <v>26456.762759116104</v>
      </c>
      <c r="N26" s="7">
        <f>overheidsuitgaven_nominaal!R26/Inflatie!$D58</f>
        <v>84116.1768977951</v>
      </c>
      <c r="O26" s="130">
        <f t="shared" si="0"/>
        <v>219452.97019921307</v>
      </c>
      <c r="P26" s="130">
        <f t="shared" si="3"/>
        <v>238453.78366394271</v>
      </c>
      <c r="R26" s="10">
        <f t="shared" ref="R26:AB26" si="25">D26/D25-1</f>
        <v>3.0132134155216539E-2</v>
      </c>
      <c r="S26" s="10">
        <f t="shared" si="25"/>
        <v>5.3585974167022377E-2</v>
      </c>
      <c r="T26" s="10">
        <f t="shared" si="25"/>
        <v>8.4694697491665139E-2</v>
      </c>
      <c r="U26" s="10">
        <f t="shared" si="25"/>
        <v>4.0168289417888303E-2</v>
      </c>
      <c r="V26" s="10">
        <f t="shared" si="25"/>
        <v>4.5173886744782399E-2</v>
      </c>
      <c r="W26" s="10">
        <f t="shared" si="25"/>
        <v>2.6490972129282087E-2</v>
      </c>
      <c r="X26" s="10">
        <f t="shared" si="25"/>
        <v>3.5230296733741673E-2</v>
      </c>
      <c r="Y26" s="10">
        <f t="shared" si="25"/>
        <v>3.5838771644126188E-2</v>
      </c>
      <c r="Z26" s="10">
        <f t="shared" si="25"/>
        <v>-1.1165945619007855E-2</v>
      </c>
      <c r="AA26" s="10">
        <f t="shared" si="25"/>
        <v>1.9484658162939095E-2</v>
      </c>
      <c r="AB26" s="10">
        <f t="shared" si="25"/>
        <v>2.9150389957522282E-2</v>
      </c>
    </row>
    <row r="27" spans="1:28">
      <c r="A27" s="7">
        <v>2020</v>
      </c>
      <c r="B27" s="46">
        <f>B26*(1+'CPB Data'!C51)</f>
        <v>756.75407499999994</v>
      </c>
      <c r="C27" s="11">
        <f>'AMECO Output Gap'!B57/100</f>
        <v>-0.04</v>
      </c>
      <c r="D27" s="7">
        <f>overheidsuitgaven_nominaal!C27/Inflatie!$D59</f>
        <v>245695.88091861387</v>
      </c>
      <c r="E27" s="129">
        <f>overheidsuitgaven_nominaal!I27/Inflatie!$D59</f>
        <v>17854.96732204609</v>
      </c>
      <c r="F27" s="7">
        <f>overheidsuitgaven_nominaal!J27/Inflatie!$D59</f>
        <v>6911.8914926749012</v>
      </c>
      <c r="G27" s="7">
        <f>overheidsuitgaven_nominaal!K27/Inflatie!$D59</f>
        <v>10351.070194898753</v>
      </c>
      <c r="H27" s="7">
        <f>overheidsuitgaven_nominaal!L27/Inflatie!$D59</f>
        <v>32151.451974136955</v>
      </c>
      <c r="I27" s="7">
        <f>overheidsuitgaven_nominaal!M27/Inflatie!$D59</f>
        <v>7634.1641621837543</v>
      </c>
      <c r="J27" s="7">
        <f>overheidsuitgaven_nominaal!N27/Inflatie!$D59</f>
        <v>2427.9969649114578</v>
      </c>
      <c r="K27" s="7">
        <f>overheidsuitgaven_nominaal!O27/Inflatie!$D59</f>
        <v>42828.834642938818</v>
      </c>
      <c r="L27" s="7">
        <f>overheidsuitgaven_nominaal!P27/Inflatie!$D59</f>
        <v>6670.7040119639096</v>
      </c>
      <c r="M27" s="7">
        <f>overheidsuitgaven_nominaal!Q27/Inflatie!$D59</f>
        <v>26892.404099275616</v>
      </c>
      <c r="N27" s="7">
        <f>overheidsuitgaven_nominaal!R27/Inflatie!$D59</f>
        <v>88469.37360646567</v>
      </c>
      <c r="O27" s="130">
        <f t="shared" si="0"/>
        <v>242192.85847149591</v>
      </c>
      <c r="P27" s="130">
        <f t="shared" si="3"/>
        <v>242840.92034266662</v>
      </c>
      <c r="R27" s="10">
        <f t="shared" ref="R27:AB27" si="26">D27/D26-1</f>
        <v>9.9214641344794741E-2</v>
      </c>
      <c r="S27" s="10">
        <f t="shared" si="26"/>
        <v>4.9190660077232495E-2</v>
      </c>
      <c r="T27" s="10">
        <f t="shared" si="26"/>
        <v>5.9090909090909083E-2</v>
      </c>
      <c r="U27" s="10">
        <f t="shared" si="26"/>
        <v>5.6532902795023654E-2</v>
      </c>
      <c r="V27" s="10">
        <f t="shared" si="26"/>
        <v>0.57692846369794037</v>
      </c>
      <c r="W27" s="10">
        <f t="shared" si="26"/>
        <v>5.3271065955161401E-2</v>
      </c>
      <c r="X27" s="10">
        <f t="shared" si="26"/>
        <v>2.3481631698843541E-2</v>
      </c>
      <c r="Y27" s="10">
        <f t="shared" si="26"/>
        <v>9.6737705285128817E-2</v>
      </c>
      <c r="Z27" s="10">
        <f t="shared" si="26"/>
        <v>2.9650838472628838E-2</v>
      </c>
      <c r="AA27" s="10">
        <f t="shared" si="26"/>
        <v>1.6466161946038005E-2</v>
      </c>
      <c r="AB27" s="10">
        <f t="shared" si="26"/>
        <v>5.1752194039440313E-2</v>
      </c>
    </row>
    <row r="28" spans="1:28">
      <c r="A28" s="7">
        <v>2021</v>
      </c>
      <c r="B28" s="46">
        <f>B27*(1+'CPB Data'!C52)</f>
        <v>813.66198143999986</v>
      </c>
      <c r="C28" s="11">
        <f>'AMECO Output Gap'!B58/100</f>
        <v>-0.01</v>
      </c>
      <c r="D28" s="7">
        <f>overheidsuitgaven_nominaal!C28/Inflatie!$D60</f>
        <v>251079.72215932634</v>
      </c>
      <c r="E28" s="129">
        <f>overheidsuitgaven_nominaal!I28/Inflatie!$D60</f>
        <v>17973.138806497747</v>
      </c>
      <c r="F28" s="7">
        <f>overheidsuitgaven_nominaal!J28/Inflatie!$D60</f>
        <v>7003.7799276764417</v>
      </c>
      <c r="G28" s="7">
        <f>overheidsuitgaven_nominaal!K28/Inflatie!$D60</f>
        <v>10530.207029241879</v>
      </c>
      <c r="H28" s="7">
        <f>overheidsuitgaven_nominaal!L28/Inflatie!$D60</f>
        <v>31679.332277970196</v>
      </c>
      <c r="I28" s="7">
        <f>overheidsuitgaven_nominaal!M28/Inflatie!$D60</f>
        <v>7510.8807740389293</v>
      </c>
      <c r="J28" s="7">
        <f>overheidsuitgaven_nominaal!N28/Inflatie!$D60</f>
        <v>2402.7520251344172</v>
      </c>
      <c r="K28" s="7">
        <f>overheidsuitgaven_nominaal!O28/Inflatie!$D60</f>
        <v>46818.117098285547</v>
      </c>
      <c r="L28" s="7">
        <f>overheidsuitgaven_nominaal!P28/Inflatie!$D60</f>
        <v>6812.5160848796722</v>
      </c>
      <c r="M28" s="7">
        <f>overheidsuitgaven_nominaal!Q28/Inflatie!$D60</f>
        <v>27670.970625147107</v>
      </c>
      <c r="N28" s="7">
        <f>overheidsuitgaven_nominaal!R28/Inflatie!$D60</f>
        <v>89622.210127349419</v>
      </c>
      <c r="O28" s="130">
        <f t="shared" si="0"/>
        <v>248023.90477622134</v>
      </c>
      <c r="P28" s="130">
        <f t="shared" si="3"/>
        <v>247228.05702139053</v>
      </c>
      <c r="R28" s="10">
        <f t="shared" ref="R28:AB28" si="27">D28/D27-1</f>
        <v>2.1912623120026398E-2</v>
      </c>
      <c r="S28" s="10">
        <f t="shared" si="27"/>
        <v>6.6184094498871193E-3</v>
      </c>
      <c r="T28" s="10">
        <f t="shared" si="27"/>
        <v>1.3294253114205068E-2</v>
      </c>
      <c r="U28" s="10">
        <f t="shared" si="27"/>
        <v>1.7306117239105356E-2</v>
      </c>
      <c r="V28" s="10">
        <f t="shared" si="27"/>
        <v>-1.4684241835999812E-2</v>
      </c>
      <c r="W28" s="10">
        <f t="shared" si="27"/>
        <v>-1.6148904519962537E-2</v>
      </c>
      <c r="X28" s="10">
        <f t="shared" si="27"/>
        <v>-1.0397434651637338E-2</v>
      </c>
      <c r="Y28" s="10">
        <f t="shared" si="27"/>
        <v>9.3144781748210503E-2</v>
      </c>
      <c r="Z28" s="10">
        <f t="shared" si="27"/>
        <v>2.1258936487276614E-2</v>
      </c>
      <c r="AA28" s="10">
        <f t="shared" si="27"/>
        <v>2.8951168627295187E-2</v>
      </c>
      <c r="AB28" s="10">
        <f t="shared" si="27"/>
        <v>1.303091085522845E-2</v>
      </c>
    </row>
    <row r="29" spans="1:28">
      <c r="A29" s="129">
        <v>2022</v>
      </c>
      <c r="B29" s="11"/>
      <c r="D29" s="129">
        <f>overheidsuitgaven_nominaal!C29/Inflatie!$D61</f>
        <v>234623.36586324245</v>
      </c>
      <c r="E29">
        <f>overheidsuitgaven_nominaal!F29/Inflatie!D61</f>
        <v>2904.3660339013732</v>
      </c>
      <c r="O29" s="130">
        <f>D29-E29</f>
        <v>231718.99982934108</v>
      </c>
      <c r="P29" s="130">
        <f t="shared" si="3"/>
        <v>251615.19370011444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8:28"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8:28"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8:28"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8:28"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8:28"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8:28"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8:28"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8:28"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8:28"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8:28"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8:28"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8:28"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8:28"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8:28"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8:28"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8:28"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8:28"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8:28"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8:28"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8:28"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8:28"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8:28"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8:28"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8:28"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8:28"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8:28"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8:28"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8:28"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8:28"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8:28"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8:28"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8:28"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8:28"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8:28"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8:28"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8:28"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8:28"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8:28"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8:28"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8:28"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8:28"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8:28"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8:28"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8:28"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8:28"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8:28"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8:28"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8:28"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8:28"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8:28"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8:28"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8:28"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8:28"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8:28"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8:28"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8:28"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8:28"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8:28"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8:28"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8:28"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8:28"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8:28"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8:28"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8:28"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8:28"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8:28"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8:28"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8:28"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8:28"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8:28"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8:28"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8:28"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8:28"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8:28"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8:28"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8:28"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8:28"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8:28"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8:28"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8:28"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8:28"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8:28"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8:28"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8:28"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8:28"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8:28"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8:28"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8:28"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8:28"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8:28"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8:28"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8:28"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8:28"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8:28"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8:28"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8:28"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8:28"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8:28"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8:28"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8:28"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8:28"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8:28"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8:28"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8:28"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8:28"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8:28"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8:28"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8:28"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8:28"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8:28"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8:28"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8:28"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8:28"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8:28"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8:28"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8:28"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8:28"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8:28"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8:28"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8:28"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8:28"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8:28"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8:28"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8:28"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8:28"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8:28"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8:28"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8:28"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8:28"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8:28"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8:28"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8:28"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8:28"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8:28"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8:28"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8:28"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8:28"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8:28"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8:28"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8:28"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8:28"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8:28"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8:28"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8:28"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8:28"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8:28"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8:28"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8:28"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8:28"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8:28"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8:28"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8:28"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8:28"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8:28"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8:28"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8:28"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8:28"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8:28"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8:28"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8:28"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8:28"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8:28"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8:28"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8:28"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8:28"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8:28"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8:28"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8:28"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8:28"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8:28"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8:28"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8:28"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8:28"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8:28"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8:28"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8:28"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8:28"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8:28"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8:28"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8:28"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8:28"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8:28"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8:28"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8:28"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8:28"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8:28"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8:28"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8:28"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8:28"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8:28"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8:28"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8:28"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8:28"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8:28"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8:28"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8:28"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8:28"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8:28"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8:28"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8:28"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8:28"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8:28"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8:28"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8:28"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8:28"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8:28"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8:28"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8:28"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8:28"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8:28"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8:28"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8:28"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8:28"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8:28"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8:28"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8:28"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8:28"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8:28"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8:28"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8:28"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8:28"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8:28"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8:28"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8:28"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8:28"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8:28"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8:28"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8:28"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8:28"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8:28"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8:28"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8:28"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8:28"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8:28"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8:28"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8:28"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8:28"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8:28"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8:28"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8:28"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8:28"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8:28"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8:28"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8:28"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8:28"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8:28"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8:28"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8:28"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8:28"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8:28"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8:28"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8:28"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8:28"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8:28"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8:28"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8:28"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8:28"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8:28"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8:28"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8:28"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8:28"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8:28"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8:28"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8:28"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8:28"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8:28"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8:28"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8:28"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8:28"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8:28"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8:28"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8:28"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8:28"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8:28"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8:28"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8:28"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8:28"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8:28"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8:28"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8:28"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8:28"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8:28"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8:28"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8:28"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8:28"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8:28"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8:28"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8:28"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8:28"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8:28"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8:28"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8:28"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8:28"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8:28"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8:28"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8:28"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8:28"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8:28"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8:28"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8:28"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8:28"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8:28"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8:28"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8:28"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8:28"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8:28"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8:28"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8:28"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8:28"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8:28"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8:28"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8:28"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8:28"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8:28"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8:28"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8:28"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8:28"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8:28"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8:28"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8:28"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8:28"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8:28"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8:28"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8:28"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8:28"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8:28"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8:28"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8:28"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8:28"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8:28"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8:28"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8:28"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8:28"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8:28"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8:28"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8:28"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8:28"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8:28"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8:28"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8:28"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8:28"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8:28"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8:28"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8:28"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8:28"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8:28"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8:28"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8:28"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8:28"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8:28"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8:28"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8:28"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8:28"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8:28"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8:28"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8:28"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8:28"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8:28"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8:28"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8:28"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8:28"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8:28"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8:28"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8:28"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8:28"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8:28"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8:28"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8:28"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8:28"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8:28"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8:28"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8:28"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8:28"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8:28"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8:28"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8:28"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8:28"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8:28"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8:28"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8:28"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8:28"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8:28"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8:28"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8:28"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8:28"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8:28"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8:28"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8:28"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8:28"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8:28"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8:28"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8:28"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8:28"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8:28"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8:28"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8:28"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8:28"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8:28"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8:28"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8:28"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8:28"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8:28"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8:28"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8:28"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8:28"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8:28"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8:28"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8:28"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8:28"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8:28"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8:28"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8:28"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8:28"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8:28"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8:28"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8:28"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8:28"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8:28"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8:28"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8:28"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8:28"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8:28"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8:28"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8:28"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8:28"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8:28"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8:28"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8:28"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8:28"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8:28"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8:28"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8:28"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8:28"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8:28"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8:28"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8:28"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8:28"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8:28"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8:28"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8:28"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8:28"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8:28"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8:28"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8:28"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8:28"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8:28"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8:28"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8:28"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8:28"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8:28"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8:28"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8:28"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8:28"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8:28"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8:28"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8:28"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8:28"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8:28"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8:28"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8:28"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8:28"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8:28"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8:28"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8:28"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8:28"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8:28"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8:28"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8:28"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8:28"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8:28"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8:28"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8:28"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8:28"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8:28"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8:28"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8:28"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8:28"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8:28"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8:28"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8:28"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8:28"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8:28"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8:28"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8:28"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8:28"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8:28"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8:28"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8:28"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8:28"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8:28"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8:28"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8:28"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8:28"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8:28"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8:28"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8:28"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8:28"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8:28"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8:28"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8:28"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8:28"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8:28"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8:28"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8:28"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8:28"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8:28"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8:28"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8:28"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8:28"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8:28"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8:28"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8:28"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8:28"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8:28"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8:28"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8:28"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8:28"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8:28"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8:28"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8:28"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8:28"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8:28"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8:28"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8:28"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8:28"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8:28"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8:28"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8:28"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8:28"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8:28"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8:28"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8:28"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8:28"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8:28"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8:28"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8:28"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8:28"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8:28"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8:28"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8:28"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8:28"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8:28"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8:28"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8:28"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8:28"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8:28"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8:28"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8:28"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8:28"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8:28"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8:28"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8:28"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8:28"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8:28"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8:28"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8:28"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8:28"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8:28"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8:28"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8:28"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8:28"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8:28"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8:28"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8:28"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8:28"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8:28"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8:28"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8:28"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8:28"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8:28"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8:28"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8:28"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8:28"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8:28"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8:28"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8:28"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8:28"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8:28"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8:28"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8:28"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8:28"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8:28"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8:28"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8:28"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8:28"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8:28"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8:28"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8:28"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8:28"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8:28"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8:28"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8:28"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8:28"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8:28"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8:28"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8:28"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8:28"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8:28"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8:28"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8:28"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8:28"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8:28"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8:28"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8:28"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8:28"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8:28"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8:28"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8:28"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8:28"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8:28"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8:28"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8:28"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8:28"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8:28"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8:28"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8:28"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8:28"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8:28"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8:28"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8:28"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8:28"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8:28"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8:28"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8:28"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8:28"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8:28"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8:28"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8:28"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8:28"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8:28"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8:28"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8:28"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8:28"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8:28"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8:28"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8:28"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8:28"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8:28"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8:28"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8:28"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8:28"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8:28"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8:28"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8:28"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8:28"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8:28"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8:28"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8:28"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8:28"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8:28"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8:28"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8:28"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8:28"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8:28"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8:28"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8:28"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8:28"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8:28"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8:28"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8:28"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8:28"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8:28"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8:28"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8:28"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8:28"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8:28"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8:28"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8:28"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8:28"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8:28"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8:28"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8:28"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8:28"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8:28"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8:28"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8:28"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8:28"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8:28"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8:28"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8:28"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8:28"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8:28"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8:28"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8:28"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8:28"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8:28"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8:28"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8:28"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8:28"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8:28"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8:28"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8:28"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8:28"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8:28"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8:28"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8:28"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8:28"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8:28"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8:28"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8:28"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8:28"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8:28"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8:28"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8:28"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8:28"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8:28"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8:28"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8:28"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8:28"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8:28"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8:28"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8:28"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8:28"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8:28"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8:28"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8:28"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8:28"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8:28"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8:28"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8:28"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8:28"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8:28"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8:28"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8:28"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8:28"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8:28"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8:28"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8:28"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8:28"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8:28"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8:28"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8:28"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8:28"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8:28"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8:28"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8:28"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8:28"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8:28"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8:28"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8:28"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8:28"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8:28"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8:28"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8:28"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8:28"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8:28"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8:28"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8:28"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8:28"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8:28"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8:28"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8:28"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8:28"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8:28"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8:28"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8:28"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8:28"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8:28"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8:28"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8:28"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8:28"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8:28"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8:28"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8:28"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8:28"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8:28"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8:28"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8:28"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8:28"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8:28"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8:28"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8:28"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8:28"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8:28"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8:28"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8:28"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8:28"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8:28"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8:28"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8:28"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8:28"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8:28"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8:28"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8:28"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8:28"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8:28"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8:28"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8:28"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8:28"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8:28"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8:28"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8:28"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8:28"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8:28"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8:28"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8:28"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8:28"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8:28"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8:28"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8:28"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8:28"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8:28"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8:28"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8:28"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8:28"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8:28"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8:28"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8:28"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8:28"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8:28"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8:28"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8:28"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8:28"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8:28"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8:28"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8:28"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8:28"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8:28"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8:28"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8:28"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8:28"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8:28"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8:28"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8:28"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8:28"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8:28"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8:28"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8:28"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8:28"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8:28"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8:28"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8:28"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8:28"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8:28"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8:28"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8:28"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8:28"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8:28"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8:28"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8:28"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8:28"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8:28"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8:28"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8:28"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8:28"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8:28"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8:28"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8:28"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8:28"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8:28"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8:28"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8:28"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8:28"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8:28"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8:28"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8:28"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8:28"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8:28"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8:28"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8:28"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8:28"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8:28"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8:28"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8:28"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8:28"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8:28"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8:28"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8:28"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8:28"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8:28"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8:28"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8:28"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8:28"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8:28"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8:28"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8:28"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8:28"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8:28"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8:28"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8:28"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8:28"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8:28"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8:28"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8:28"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8:28"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8:28"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8:28"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8:28"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8:28"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8:28"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8:28"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8:28"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8:28"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8:28"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8:28"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8:28"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8:28"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8:28"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8:28"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8:28"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8:28"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8:28"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8:28"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8:28"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8:28"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8:28"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8:28"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8:28"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8:28"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8:28"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8:28"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8:28"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8:28"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8:28"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8:28"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8:28"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8:28"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8:28"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8:28"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8:28"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8:28"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8:28"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8:28"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8:28"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8:28"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8:28"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8:28"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8:28"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8:28"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8:28"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8:28"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8:28"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8:28"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8:28"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8:28"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8:28"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8:28"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8:28"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8:28"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8:28"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8:28"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8:28"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8:28"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8:28"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8:28"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8:28"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8:28"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8:28"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8:28"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8:28"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8:28"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8:28"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8:28"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8:28"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18:28"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18:28"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18:28"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18:28"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18:28"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18:28"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18:28"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18:28"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18:28"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18:28"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18:28"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18:28"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18:28"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6">
    <outlinePr summaryBelow="0" summaryRight="0"/>
  </sheetPr>
  <dimension ref="A1:BJ28"/>
  <sheetViews>
    <sheetView workbookViewId="0"/>
  </sheetViews>
  <sheetFormatPr defaultColWidth="12.6640625" defaultRowHeight="15.75" customHeight="1"/>
  <cols>
    <col min="53" max="53" width="23.6640625" customWidth="1"/>
    <col min="54" max="54" width="16" customWidth="1"/>
    <col min="55" max="55" width="23.6640625" customWidth="1"/>
    <col min="56" max="56" width="26.6640625" customWidth="1"/>
    <col min="58" max="58" width="32.6640625" customWidth="1"/>
  </cols>
  <sheetData>
    <row r="1" spans="1:62">
      <c r="A1" s="7" t="s">
        <v>130</v>
      </c>
      <c r="B1" s="7" t="s">
        <v>19</v>
      </c>
      <c r="C1" s="7" t="s">
        <v>117</v>
      </c>
      <c r="D1" s="7" t="s">
        <v>119</v>
      </c>
      <c r="E1" s="7" t="s">
        <v>120</v>
      </c>
      <c r="F1" s="7" t="s">
        <v>121</v>
      </c>
      <c r="G1" s="7" t="s">
        <v>122</v>
      </c>
      <c r="H1" s="7" t="s">
        <v>123</v>
      </c>
      <c r="I1" s="7" t="s">
        <v>124</v>
      </c>
      <c r="J1" s="7" t="s">
        <v>125</v>
      </c>
      <c r="K1" s="7" t="s">
        <v>126</v>
      </c>
      <c r="L1" s="7" t="s">
        <v>127</v>
      </c>
      <c r="M1" s="7" t="s">
        <v>128</v>
      </c>
      <c r="N1" s="7"/>
      <c r="O1" s="7" t="s">
        <v>117</v>
      </c>
      <c r="P1" s="7" t="s">
        <v>119</v>
      </c>
      <c r="Q1" s="7" t="s">
        <v>120</v>
      </c>
      <c r="R1" s="7" t="s">
        <v>121</v>
      </c>
      <c r="S1" s="7" t="s">
        <v>122</v>
      </c>
      <c r="T1" s="7" t="s">
        <v>123</v>
      </c>
      <c r="U1" s="7" t="s">
        <v>124</v>
      </c>
      <c r="V1" s="7" t="s">
        <v>125</v>
      </c>
      <c r="W1" s="7" t="s">
        <v>126</v>
      </c>
      <c r="X1" s="7" t="s">
        <v>127</v>
      </c>
      <c r="Y1" s="7" t="s">
        <v>128</v>
      </c>
      <c r="Z1" s="7"/>
      <c r="AA1" s="7" t="s">
        <v>117</v>
      </c>
      <c r="AB1" s="7" t="s">
        <v>119</v>
      </c>
      <c r="AC1" s="7" t="s">
        <v>120</v>
      </c>
      <c r="AD1" s="7" t="s">
        <v>121</v>
      </c>
      <c r="AE1" s="7" t="s">
        <v>122</v>
      </c>
      <c r="AF1" s="7" t="s">
        <v>123</v>
      </c>
      <c r="AG1" s="7" t="s">
        <v>124</v>
      </c>
      <c r="AH1" s="7" t="s">
        <v>125</v>
      </c>
      <c r="AI1" s="7" t="s">
        <v>126</v>
      </c>
      <c r="AJ1" s="7" t="s">
        <v>127</v>
      </c>
      <c r="AK1" s="7" t="s">
        <v>128</v>
      </c>
      <c r="AM1" s="7" t="s">
        <v>130</v>
      </c>
      <c r="AN1" s="7" t="s">
        <v>117</v>
      </c>
      <c r="AO1" s="7" t="s">
        <v>119</v>
      </c>
      <c r="AP1" s="7" t="s">
        <v>120</v>
      </c>
      <c r="AQ1" s="7" t="s">
        <v>121</v>
      </c>
      <c r="AR1" s="7" t="s">
        <v>122</v>
      </c>
      <c r="AS1" s="7" t="s">
        <v>123</v>
      </c>
      <c r="AT1" s="7" t="s">
        <v>124</v>
      </c>
      <c r="AU1" s="7" t="s">
        <v>125</v>
      </c>
      <c r="AV1" s="7" t="s">
        <v>126</v>
      </c>
      <c r="AW1" s="7" t="s">
        <v>127</v>
      </c>
      <c r="AX1" s="7" t="s">
        <v>128</v>
      </c>
      <c r="AY1" s="7"/>
      <c r="AZ1" s="7" t="s">
        <v>117</v>
      </c>
      <c r="BA1" s="7" t="s">
        <v>119</v>
      </c>
      <c r="BB1" s="7" t="s">
        <v>120</v>
      </c>
      <c r="BC1" s="7" t="s">
        <v>121</v>
      </c>
      <c r="BD1" s="7" t="s">
        <v>122</v>
      </c>
      <c r="BE1" s="7" t="s">
        <v>123</v>
      </c>
      <c r="BF1" s="7" t="s">
        <v>124</v>
      </c>
      <c r="BG1" s="7" t="s">
        <v>125</v>
      </c>
      <c r="BH1" s="7" t="s">
        <v>126</v>
      </c>
      <c r="BI1" s="7" t="s">
        <v>127</v>
      </c>
      <c r="BJ1" s="7" t="s">
        <v>128</v>
      </c>
    </row>
    <row r="2" spans="1:62">
      <c r="A2" s="7">
        <v>1995</v>
      </c>
      <c r="B2" s="11">
        <f>'AMECO Output Gap'!B32/100</f>
        <v>-1.3000000000000001E-2</v>
      </c>
      <c r="C2" s="7">
        <f>overheidsuitgaven_nominaal!C2/Inflatie!$D34</f>
        <v>170570.35854616895</v>
      </c>
      <c r="D2" s="7">
        <f>overheidsuitgaven_nominaal!E2/Inflatie!$D34</f>
        <v>28791.326436640469</v>
      </c>
      <c r="E2" s="7">
        <f>overheidsuitgaven_nominaal!J2/Inflatie!$D34</f>
        <v>5851.7006385068762</v>
      </c>
      <c r="F2" s="7">
        <f>overheidsuitgaven_nominaal!K2/Inflatie!$D34</f>
        <v>4454.9668467583497</v>
      </c>
      <c r="G2" s="7">
        <f>overheidsuitgaven_nominaal!L2/Inflatie!$D34</f>
        <v>15031.196279469548</v>
      </c>
      <c r="H2" s="7">
        <f>overheidsuitgaven_nominaal!M2/Inflatie!$D34</f>
        <v>5161.967399312377</v>
      </c>
      <c r="I2" s="7">
        <f>overheidsuitgaven_nominaal!N2/Inflatie!$D34</f>
        <v>17244.290275049116</v>
      </c>
      <c r="J2" s="7">
        <f>overheidsuitgaven_nominaal!O2/Inflatie!$D34</f>
        <v>14754.919265717092</v>
      </c>
      <c r="K2" s="7">
        <f>overheidsuitgaven_nominaal!P2/Inflatie!$D34</f>
        <v>3866.9188973477408</v>
      </c>
      <c r="L2" s="7">
        <f>overheidsuitgaven_nominaal!Q2/Inflatie!$D34</f>
        <v>16216.88513015717</v>
      </c>
      <c r="M2" s="7">
        <f>overheidsuitgaven_nominaal!R2/Inflatie!$D34</f>
        <v>59196.187377210212</v>
      </c>
      <c r="N2" s="7"/>
      <c r="O2" s="6">
        <f t="shared" ref="O2:Y2" si="0">(C$28-C$2)/26*(ROW(O2)-2) + C$2</f>
        <v>170570.35854616895</v>
      </c>
      <c r="P2" s="6">
        <f t="shared" si="0"/>
        <v>28791.326436640469</v>
      </c>
      <c r="Q2" s="6">
        <f t="shared" si="0"/>
        <v>5851.7006385068762</v>
      </c>
      <c r="R2" s="6">
        <f t="shared" si="0"/>
        <v>4454.9668467583497</v>
      </c>
      <c r="S2" s="6">
        <f t="shared" si="0"/>
        <v>15031.196279469548</v>
      </c>
      <c r="T2" s="6">
        <f t="shared" si="0"/>
        <v>5161.967399312377</v>
      </c>
      <c r="U2" s="6">
        <f t="shared" si="0"/>
        <v>17244.290275049116</v>
      </c>
      <c r="V2" s="6">
        <f t="shared" si="0"/>
        <v>14754.919265717092</v>
      </c>
      <c r="W2" s="6">
        <f t="shared" si="0"/>
        <v>3866.9188973477408</v>
      </c>
      <c r="X2" s="6">
        <f t="shared" si="0"/>
        <v>16216.88513015717</v>
      </c>
      <c r="Y2" s="6">
        <f t="shared" si="0"/>
        <v>59196.187377210212</v>
      </c>
      <c r="AM2" s="7">
        <v>1995</v>
      </c>
    </row>
    <row r="3" spans="1:62">
      <c r="A3" s="7">
        <v>1996</v>
      </c>
      <c r="B3" s="11">
        <f>'AMECO Output Gap'!B33/100</f>
        <v>-1.2E-2</v>
      </c>
      <c r="C3" s="7">
        <f>overheidsuitgaven_nominaal!C3/Inflatie!$D35</f>
        <v>153788.7226354196</v>
      </c>
      <c r="D3" s="7">
        <f>overheidsuitgaven_nominaal!E3/Inflatie!$D35</f>
        <v>28082.30333068801</v>
      </c>
      <c r="E3" s="7">
        <f>overheidsuitgaven_nominaal!J3/Inflatie!$D35</f>
        <v>5855.0085529435673</v>
      </c>
      <c r="F3" s="7">
        <f>overheidsuitgaven_nominaal!K3/Inflatie!$D35</f>
        <v>4635.8058034202095</v>
      </c>
      <c r="G3" s="7">
        <f>overheidsuitgaven_nominaal!L3/Inflatie!$D35</f>
        <v>15582.167233636901</v>
      </c>
      <c r="H3" s="7">
        <f>overheidsuitgaven_nominaal!M3/Inflatie!$D35</f>
        <v>5234.0657572560904</v>
      </c>
      <c r="I3" s="7">
        <f>overheidsuitgaven_nominaal!N3/Inflatie!$D35</f>
        <v>1281.5805646152508</v>
      </c>
      <c r="J3" s="7">
        <f>overheidsuitgaven_nominaal!O3/Inflatie!$D35</f>
        <v>14402.659457353839</v>
      </c>
      <c r="K3" s="7">
        <f>overheidsuitgaven_nominaal!P3/Inflatie!$D35</f>
        <v>3902.3939168852285</v>
      </c>
      <c r="L3" s="7">
        <f>overheidsuitgaven_nominaal!Q3/Inflatie!$D35</f>
        <v>16446.950579229051</v>
      </c>
      <c r="M3" s="7">
        <f>overheidsuitgaven_nominaal!R3/Inflatie!$D35</f>
        <v>58365.787439391446</v>
      </c>
      <c r="N3" s="7"/>
      <c r="O3" s="6">
        <f t="shared" ref="O3:O28" si="1">(C$28-C$3)/25*(ROW(O3)-3) + C$3</f>
        <v>153788.7226354196</v>
      </c>
      <c r="P3" s="6">
        <f t="shared" ref="P3:Y3" si="2">(D$28-D$2)/26*(ROW(P3)-2) + D$2</f>
        <v>28492.773734831324</v>
      </c>
      <c r="Q3" s="6">
        <f t="shared" si="2"/>
        <v>5896.011380398013</v>
      </c>
      <c r="R3" s="6">
        <f t="shared" si="2"/>
        <v>4688.6299307000236</v>
      </c>
      <c r="S3" s="6">
        <f t="shared" si="2"/>
        <v>15671.509202488804</v>
      </c>
      <c r="T3" s="6">
        <f t="shared" si="2"/>
        <v>5252.3102214172441</v>
      </c>
      <c r="U3" s="6">
        <f t="shared" si="2"/>
        <v>16673.461880821626</v>
      </c>
      <c r="V3" s="6">
        <f t="shared" si="2"/>
        <v>15988.11918235434</v>
      </c>
      <c r="W3" s="6">
        <f t="shared" si="2"/>
        <v>3980.2110968681995</v>
      </c>
      <c r="X3" s="6">
        <f t="shared" si="2"/>
        <v>16657.426879964474</v>
      </c>
      <c r="Y3" s="6">
        <f t="shared" si="2"/>
        <v>60366.419021446338</v>
      </c>
      <c r="AA3" s="6">
        <f t="shared" ref="AA3:AA28" si="3">C3-C2</f>
        <v>-16781.635910749348</v>
      </c>
      <c r="AB3" s="6">
        <f>D2</f>
        <v>28791.326436640469</v>
      </c>
      <c r="AC3" s="6">
        <f t="shared" ref="AC3:AK3" si="4">E3-E2</f>
        <v>3.3079144366911351</v>
      </c>
      <c r="AD3" s="6">
        <f t="shared" si="4"/>
        <v>180.83895666185981</v>
      </c>
      <c r="AE3" s="6">
        <f t="shared" si="4"/>
        <v>550.97095416735283</v>
      </c>
      <c r="AF3" s="6">
        <f t="shared" si="4"/>
        <v>72.098357943713381</v>
      </c>
      <c r="AG3" s="6">
        <f t="shared" si="4"/>
        <v>-15962.709710433865</v>
      </c>
      <c r="AH3" s="6">
        <f t="shared" si="4"/>
        <v>-352.25980836325289</v>
      </c>
      <c r="AI3" s="6">
        <f t="shared" si="4"/>
        <v>35.475019537487697</v>
      </c>
      <c r="AJ3" s="6">
        <f t="shared" si="4"/>
        <v>230.06544907188072</v>
      </c>
      <c r="AK3" s="6">
        <f t="shared" si="4"/>
        <v>-830.39993781876547</v>
      </c>
      <c r="AM3" s="7">
        <v>1996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/>
      <c r="AY3" s="7"/>
      <c r="AZ3" s="6">
        <f t="shared" ref="AZ3:BJ3" si="5">(AN$28-0)/25*(ROW(AZ3)-3)</f>
        <v>0</v>
      </c>
      <c r="BA3" s="6">
        <f t="shared" si="5"/>
        <v>0</v>
      </c>
      <c r="BB3" s="6">
        <f t="shared" si="5"/>
        <v>0</v>
      </c>
      <c r="BC3" s="6">
        <f t="shared" si="5"/>
        <v>0</v>
      </c>
      <c r="BD3" s="6">
        <f t="shared" si="5"/>
        <v>0</v>
      </c>
      <c r="BE3" s="6">
        <f t="shared" si="5"/>
        <v>0</v>
      </c>
      <c r="BF3" s="6">
        <f t="shared" si="5"/>
        <v>0</v>
      </c>
      <c r="BG3" s="6">
        <f t="shared" si="5"/>
        <v>0</v>
      </c>
      <c r="BH3" s="6">
        <f t="shared" si="5"/>
        <v>0</v>
      </c>
      <c r="BI3" s="6">
        <f t="shared" si="5"/>
        <v>0</v>
      </c>
      <c r="BJ3" s="6">
        <f t="shared" si="5"/>
        <v>0</v>
      </c>
    </row>
    <row r="4" spans="1:62">
      <c r="A4" s="7">
        <v>1997</v>
      </c>
      <c r="B4" s="11">
        <f>'AMECO Output Gap'!B34/100</f>
        <v>-5.0000000000000001E-3</v>
      </c>
      <c r="C4" s="7">
        <f>overheidsuitgaven_nominaal!C4/Inflatie!$D36</f>
        <v>156349.4561075565</v>
      </c>
      <c r="D4" s="7">
        <f>overheidsuitgaven_nominaal!E4/Inflatie!$D36</f>
        <v>27960.679563472298</v>
      </c>
      <c r="E4" s="7">
        <f>overheidsuitgaven_nominaal!J4/Inflatie!$D36</f>
        <v>5661.4445961298961</v>
      </c>
      <c r="F4" s="7">
        <f>overheidsuitgaven_nominaal!K4/Inflatie!$D36</f>
        <v>4779.334079678888</v>
      </c>
      <c r="G4" s="7">
        <f>overheidsuitgaven_nominaal!L4/Inflatie!$D36</f>
        <v>17129.80789666995</v>
      </c>
      <c r="H4" s="7">
        <f>overheidsuitgaven_nominaal!M4/Inflatie!$D36</f>
        <v>5347.3317126457659</v>
      </c>
      <c r="I4" s="7">
        <f>overheidsuitgaven_nominaal!N4/Inflatie!$D36</f>
        <v>1697.5067921620246</v>
      </c>
      <c r="J4" s="7">
        <f>overheidsuitgaven_nominaal!O4/Inflatie!$D36</f>
        <v>15827.027028886212</v>
      </c>
      <c r="K4" s="7">
        <f>overheidsuitgaven_nominaal!P4/Inflatie!$D36</f>
        <v>4176.1261529881249</v>
      </c>
      <c r="L4" s="7">
        <f>overheidsuitgaven_nominaal!Q4/Inflatie!$D36</f>
        <v>16744.347839061105</v>
      </c>
      <c r="M4" s="7">
        <f>overheidsuitgaven_nominaal!R4/Inflatie!$D36</f>
        <v>57025.850445862248</v>
      </c>
      <c r="N4" s="7"/>
      <c r="O4" s="6">
        <f t="shared" si="1"/>
        <v>157680.36261637587</v>
      </c>
      <c r="P4" s="6">
        <f t="shared" ref="P4:Y4" si="6">(D$28-D$2)/26*(ROW(P4)-2) + D$2</f>
        <v>28194.221033022179</v>
      </c>
      <c r="Q4" s="6">
        <f t="shared" si="6"/>
        <v>5940.3221222891507</v>
      </c>
      <c r="R4" s="6">
        <f t="shared" si="6"/>
        <v>4922.2930146416984</v>
      </c>
      <c r="S4" s="6">
        <f t="shared" si="6"/>
        <v>16311.822125508061</v>
      </c>
      <c r="T4" s="6">
        <f t="shared" si="6"/>
        <v>5342.6530435221121</v>
      </c>
      <c r="U4" s="6">
        <f t="shared" si="6"/>
        <v>16102.633486594139</v>
      </c>
      <c r="V4" s="6">
        <f t="shared" si="6"/>
        <v>17221.319098991589</v>
      </c>
      <c r="W4" s="6">
        <f t="shared" si="6"/>
        <v>4093.5032963886588</v>
      </c>
      <c r="X4" s="6">
        <f t="shared" si="6"/>
        <v>17097.968629771782</v>
      </c>
      <c r="Y4" s="6">
        <f t="shared" si="6"/>
        <v>61536.650665682457</v>
      </c>
      <c r="AA4" s="6">
        <f t="shared" si="3"/>
        <v>2560.733472136897</v>
      </c>
      <c r="AB4" s="6">
        <f t="shared" ref="AB4:AK4" si="7">D4-D3</f>
        <v>-121.62376721571127</v>
      </c>
      <c r="AC4" s="6">
        <f t="shared" si="7"/>
        <v>-193.56395681367121</v>
      </c>
      <c r="AD4" s="6">
        <f t="shared" si="7"/>
        <v>143.52827625867849</v>
      </c>
      <c r="AE4" s="6">
        <f t="shared" si="7"/>
        <v>1547.6406630330493</v>
      </c>
      <c r="AF4" s="6">
        <f t="shared" si="7"/>
        <v>113.26595538967558</v>
      </c>
      <c r="AG4" s="6">
        <f t="shared" si="7"/>
        <v>415.92622754677382</v>
      </c>
      <c r="AH4" s="6">
        <f t="shared" si="7"/>
        <v>1424.3675715323734</v>
      </c>
      <c r="AI4" s="6">
        <f t="shared" si="7"/>
        <v>273.73223610289642</v>
      </c>
      <c r="AJ4" s="6">
        <f t="shared" si="7"/>
        <v>297.39725983205426</v>
      </c>
      <c r="AK4" s="6">
        <f t="shared" si="7"/>
        <v>-1339.9369935291979</v>
      </c>
      <c r="AM4" s="7">
        <v>1997</v>
      </c>
      <c r="AN4" s="6">
        <f t="shared" ref="AN4:AX4" si="8">AN3+AA4</f>
        <v>2560.733472136897</v>
      </c>
      <c r="AO4" s="6">
        <f t="shared" si="8"/>
        <v>-121.62376721571127</v>
      </c>
      <c r="AP4" s="6">
        <f t="shared" si="8"/>
        <v>-193.56395681367121</v>
      </c>
      <c r="AQ4" s="6">
        <f t="shared" si="8"/>
        <v>143.52827625867849</v>
      </c>
      <c r="AR4" s="6">
        <f t="shared" si="8"/>
        <v>1547.6406630330493</v>
      </c>
      <c r="AS4" s="6">
        <f t="shared" si="8"/>
        <v>113.26595538967558</v>
      </c>
      <c r="AT4" s="6">
        <f t="shared" si="8"/>
        <v>415.92622754677382</v>
      </c>
      <c r="AU4" s="6">
        <f t="shared" si="8"/>
        <v>1424.3675715323734</v>
      </c>
      <c r="AV4" s="6">
        <f t="shared" si="8"/>
        <v>273.73223610289642</v>
      </c>
      <c r="AW4" s="6">
        <f t="shared" si="8"/>
        <v>297.39725983205426</v>
      </c>
      <c r="AX4" s="6">
        <f t="shared" si="8"/>
        <v>-1339.9369935291979</v>
      </c>
      <c r="AZ4" s="6">
        <f t="shared" ref="AZ4:BJ4" si="9">(AN$28-0)/25*(ROW(AZ4)-3)</f>
        <v>3891.6399809562695</v>
      </c>
      <c r="BA4" s="6">
        <f t="shared" si="9"/>
        <v>-282.13388564341193</v>
      </c>
      <c r="BB4" s="6">
        <f t="shared" si="9"/>
        <v>45.950854989314976</v>
      </c>
      <c r="BC4" s="6">
        <f t="shared" si="9"/>
        <v>235.77604903286681</v>
      </c>
      <c r="BD4" s="6">
        <f t="shared" si="9"/>
        <v>643.88660177333179</v>
      </c>
      <c r="BE4" s="6">
        <f t="shared" si="9"/>
        <v>91.072600671313552</v>
      </c>
      <c r="BF4" s="6">
        <f t="shared" si="9"/>
        <v>44.846858420766658</v>
      </c>
      <c r="BG4" s="6">
        <f t="shared" si="9"/>
        <v>1296.6183056372683</v>
      </c>
      <c r="BH4" s="6">
        <f t="shared" si="9"/>
        <v>116.40488671977775</v>
      </c>
      <c r="BI4" s="6">
        <f t="shared" si="9"/>
        <v>448.96080183672223</v>
      </c>
      <c r="BJ4" s="6">
        <f t="shared" si="9"/>
        <v>1250.2569075183189</v>
      </c>
    </row>
    <row r="5" spans="1:62">
      <c r="A5" s="7">
        <v>1998</v>
      </c>
      <c r="B5" s="11">
        <f>'AMECO Output Gap'!B35/100</f>
        <v>5.0000000000000001E-3</v>
      </c>
      <c r="C5" s="7">
        <f>overheidsuitgaven_nominaal!C5/Inflatie!$D37</f>
        <v>160049.85425642162</v>
      </c>
      <c r="D5" s="7">
        <f>overheidsuitgaven_nominaal!E5/Inflatie!$D37</f>
        <v>28234.927353495568</v>
      </c>
      <c r="E5" s="7">
        <f>overheidsuitgaven_nominaal!J5/Inflatie!$D37</f>
        <v>5591.4084920426685</v>
      </c>
      <c r="F5" s="7">
        <f>overheidsuitgaven_nominaal!K5/Inflatie!$D37</f>
        <v>5069.3493318763904</v>
      </c>
      <c r="G5" s="7">
        <f>overheidsuitgaven_nominaal!L5/Inflatie!$D37</f>
        <v>18270.248409798212</v>
      </c>
      <c r="H5" s="7">
        <f>overheidsuitgaven_nominaal!M5/Inflatie!$D37</f>
        <v>5388.2336356428777</v>
      </c>
      <c r="I5" s="7">
        <f>overheidsuitgaven_nominaal!N5/Inflatie!$D37</f>
        <v>2194.8351079241957</v>
      </c>
      <c r="J5" s="7">
        <f>overheidsuitgaven_nominaal!O5/Inflatie!$D37</f>
        <v>16348.742705102435</v>
      </c>
      <c r="K5" s="7">
        <f>overheidsuitgaven_nominaal!P5/Inflatie!$D37</f>
        <v>4406.9810780528578</v>
      </c>
      <c r="L5" s="7">
        <f>overheidsuitgaven_nominaal!Q5/Inflatie!$D37</f>
        <v>17155.064444626267</v>
      </c>
      <c r="M5" s="7">
        <f>overheidsuitgaven_nominaal!R5/Inflatie!$D37</f>
        <v>57390.06369786014</v>
      </c>
      <c r="N5" s="7"/>
      <c r="O5" s="6">
        <f t="shared" si="1"/>
        <v>161572.00259733215</v>
      </c>
      <c r="P5" s="6">
        <f t="shared" ref="P5:Y5" si="10">(D$28-D$2)/26*(ROW(P5)-2) + D$2</f>
        <v>27895.668331213037</v>
      </c>
      <c r="Q5" s="6">
        <f t="shared" si="10"/>
        <v>5984.6328641802875</v>
      </c>
      <c r="R5" s="6">
        <f t="shared" si="10"/>
        <v>5155.9560985833723</v>
      </c>
      <c r="S5" s="6">
        <f t="shared" si="10"/>
        <v>16952.135048527314</v>
      </c>
      <c r="T5" s="6">
        <f t="shared" si="10"/>
        <v>5432.9958656269791</v>
      </c>
      <c r="U5" s="6">
        <f t="shared" si="10"/>
        <v>15531.805092366651</v>
      </c>
      <c r="V5" s="6">
        <f t="shared" si="10"/>
        <v>18454.519015628837</v>
      </c>
      <c r="W5" s="6">
        <f t="shared" si="10"/>
        <v>4206.7954959091176</v>
      </c>
      <c r="X5" s="6">
        <f t="shared" si="10"/>
        <v>17538.510379579086</v>
      </c>
      <c r="Y5" s="6">
        <f t="shared" si="10"/>
        <v>62706.882309918583</v>
      </c>
      <c r="AA5" s="6">
        <f t="shared" si="3"/>
        <v>3700.3981488651189</v>
      </c>
      <c r="AB5" s="6">
        <f t="shared" ref="AB5:AK5" si="11">D5-D4</f>
        <v>274.24779002326977</v>
      </c>
      <c r="AC5" s="6">
        <f t="shared" si="11"/>
        <v>-70.036104087227613</v>
      </c>
      <c r="AD5" s="6">
        <f t="shared" si="11"/>
        <v>290.01525219750238</v>
      </c>
      <c r="AE5" s="6">
        <f t="shared" si="11"/>
        <v>1140.440513128262</v>
      </c>
      <c r="AF5" s="6">
        <f t="shared" si="11"/>
        <v>40.901922997111797</v>
      </c>
      <c r="AG5" s="6">
        <f t="shared" si="11"/>
        <v>497.32831576217109</v>
      </c>
      <c r="AH5" s="6">
        <f t="shared" si="11"/>
        <v>521.71567621622307</v>
      </c>
      <c r="AI5" s="6">
        <f t="shared" si="11"/>
        <v>230.85492506473292</v>
      </c>
      <c r="AJ5" s="6">
        <f t="shared" si="11"/>
        <v>410.71660556516144</v>
      </c>
      <c r="AK5" s="6">
        <f t="shared" si="11"/>
        <v>364.21325199789135</v>
      </c>
      <c r="AM5" s="7">
        <v>1998</v>
      </c>
      <c r="AN5" s="6">
        <f t="shared" ref="AN5:AX5" si="12">AN4+AA5</f>
        <v>6261.1316210020159</v>
      </c>
      <c r="AO5" s="6">
        <f t="shared" si="12"/>
        <v>152.6240228075585</v>
      </c>
      <c r="AP5" s="6">
        <f t="shared" si="12"/>
        <v>-263.60006090089882</v>
      </c>
      <c r="AQ5" s="6">
        <f t="shared" si="12"/>
        <v>433.54352845618087</v>
      </c>
      <c r="AR5" s="6">
        <f t="shared" si="12"/>
        <v>2688.0811761613113</v>
      </c>
      <c r="AS5" s="6">
        <f t="shared" si="12"/>
        <v>154.16787838678738</v>
      </c>
      <c r="AT5" s="6">
        <f t="shared" si="12"/>
        <v>913.2545433089449</v>
      </c>
      <c r="AU5" s="6">
        <f t="shared" si="12"/>
        <v>1946.0832477485965</v>
      </c>
      <c r="AV5" s="6">
        <f t="shared" si="12"/>
        <v>504.58716116762935</v>
      </c>
      <c r="AW5" s="6">
        <f t="shared" si="12"/>
        <v>708.1138653972157</v>
      </c>
      <c r="AX5" s="6">
        <f t="shared" si="12"/>
        <v>-975.72374153130659</v>
      </c>
      <c r="AZ5" s="6">
        <f t="shared" ref="AZ5:BJ5" si="13">(AN$28-0)/25*(ROW(AZ5)-3)</f>
        <v>7783.279961912539</v>
      </c>
      <c r="BA5" s="6">
        <f t="shared" si="13"/>
        <v>-564.26777128682386</v>
      </c>
      <c r="BB5" s="6">
        <f t="shared" si="13"/>
        <v>91.901709978629953</v>
      </c>
      <c r="BC5" s="6">
        <f t="shared" si="13"/>
        <v>471.55209806573362</v>
      </c>
      <c r="BD5" s="6">
        <f t="shared" si="13"/>
        <v>1287.7732035466636</v>
      </c>
      <c r="BE5" s="6">
        <f t="shared" si="13"/>
        <v>182.1452013426271</v>
      </c>
      <c r="BF5" s="6">
        <f t="shared" si="13"/>
        <v>89.693716841533316</v>
      </c>
      <c r="BG5" s="6">
        <f t="shared" si="13"/>
        <v>2593.2366112745367</v>
      </c>
      <c r="BH5" s="6">
        <f t="shared" si="13"/>
        <v>232.8097734395555</v>
      </c>
      <c r="BI5" s="6">
        <f t="shared" si="13"/>
        <v>897.92160367344445</v>
      </c>
      <c r="BJ5" s="6">
        <f t="shared" si="13"/>
        <v>2500.5138150366379</v>
      </c>
    </row>
    <row r="6" spans="1:62">
      <c r="A6" s="7">
        <v>1999</v>
      </c>
      <c r="B6" s="11">
        <f>'AMECO Output Gap'!B36/100</f>
        <v>1.9E-2</v>
      </c>
      <c r="C6" s="7">
        <f>overheidsuitgaven_nominaal!C6/Inflatie!$D38</f>
        <v>163845.34433446528</v>
      </c>
      <c r="D6" s="7">
        <f>overheidsuitgaven_nominaal!E6/Inflatie!$D38</f>
        <v>28224.329232092121</v>
      </c>
      <c r="E6" s="7">
        <f>overheidsuitgaven_nominaal!J6/Inflatie!$D38</f>
        <v>6102.6545224253778</v>
      </c>
      <c r="F6" s="7">
        <f>overheidsuitgaven_nominaal!K6/Inflatie!$D38</f>
        <v>5365.3549522615367</v>
      </c>
      <c r="G6" s="7">
        <f>overheidsuitgaven_nominaal!L6/Inflatie!$D38</f>
        <v>18996.886251912823</v>
      </c>
      <c r="H6" s="7">
        <f>overheidsuitgaven_nominaal!M6/Inflatie!$D38</f>
        <v>5553.4872848671339</v>
      </c>
      <c r="I6" s="7">
        <f>overheidsuitgaven_nominaal!N6/Inflatie!$D38</f>
        <v>2042.5796111464858</v>
      </c>
      <c r="J6" s="7">
        <f>overheidsuitgaven_nominaal!O6/Inflatie!$D38</f>
        <v>16990.141370786449</v>
      </c>
      <c r="K6" s="7">
        <f>overheidsuitgaven_nominaal!P6/Inflatie!$D38</f>
        <v>4743.6223864125623</v>
      </c>
      <c r="L6" s="7">
        <f>overheidsuitgaven_nominaal!Q6/Inflatie!$D38</f>
        <v>18057.120457135337</v>
      </c>
      <c r="M6" s="7">
        <f>overheidsuitgaven_nominaal!R6/Inflatie!$D38</f>
        <v>57769.16826542544</v>
      </c>
      <c r="N6" s="7"/>
      <c r="O6" s="6">
        <f t="shared" si="1"/>
        <v>165463.64257828842</v>
      </c>
      <c r="P6" s="6">
        <f t="shared" ref="P6:Y6" si="14">(D$28-D$2)/26*(ROW(P6)-2) + D$2</f>
        <v>27597.115629403892</v>
      </c>
      <c r="Q6" s="6">
        <f t="shared" si="14"/>
        <v>6028.9436060714252</v>
      </c>
      <c r="R6" s="6">
        <f t="shared" si="14"/>
        <v>5389.6191825250462</v>
      </c>
      <c r="S6" s="6">
        <f t="shared" si="14"/>
        <v>17592.447971546571</v>
      </c>
      <c r="T6" s="6">
        <f t="shared" si="14"/>
        <v>5523.3386877318462</v>
      </c>
      <c r="U6" s="6">
        <f t="shared" si="14"/>
        <v>14960.976698139162</v>
      </c>
      <c r="V6" s="6">
        <f t="shared" si="14"/>
        <v>19687.718932266085</v>
      </c>
      <c r="W6" s="6">
        <f t="shared" si="14"/>
        <v>4320.0876954295763</v>
      </c>
      <c r="X6" s="6">
        <f t="shared" si="14"/>
        <v>17979.052129386393</v>
      </c>
      <c r="Y6" s="6">
        <f t="shared" si="14"/>
        <v>63877.113954154702</v>
      </c>
      <c r="AA6" s="6">
        <f t="shared" si="3"/>
        <v>3795.4900780436583</v>
      </c>
      <c r="AB6" s="6">
        <f t="shared" ref="AB6:AK6" si="15">D6-D5</f>
        <v>-10.598121403447294</v>
      </c>
      <c r="AC6" s="6">
        <f t="shared" si="15"/>
        <v>511.24603038270925</v>
      </c>
      <c r="AD6" s="6">
        <f t="shared" si="15"/>
        <v>296.00562038514636</v>
      </c>
      <c r="AE6" s="6">
        <f t="shared" si="15"/>
        <v>726.63784211461098</v>
      </c>
      <c r="AF6" s="6">
        <f t="shared" si="15"/>
        <v>165.25364922425615</v>
      </c>
      <c r="AG6" s="6">
        <f t="shared" si="15"/>
        <v>-152.25549677770982</v>
      </c>
      <c r="AH6" s="6">
        <f t="shared" si="15"/>
        <v>641.39866568401339</v>
      </c>
      <c r="AI6" s="6">
        <f t="shared" si="15"/>
        <v>336.64130835970445</v>
      </c>
      <c r="AJ6" s="6">
        <f t="shared" si="15"/>
        <v>902.05601250907057</v>
      </c>
      <c r="AK6" s="6">
        <f t="shared" si="15"/>
        <v>379.10456756530039</v>
      </c>
      <c r="AM6" s="7">
        <v>1999</v>
      </c>
      <c r="AN6" s="6">
        <f t="shared" ref="AN6:AX6" si="16">AN5+AA6</f>
        <v>10056.621699045674</v>
      </c>
      <c r="AO6" s="6">
        <f t="shared" si="16"/>
        <v>142.02590140411121</v>
      </c>
      <c r="AP6" s="6">
        <f t="shared" si="16"/>
        <v>247.64596948181043</v>
      </c>
      <c r="AQ6" s="6">
        <f t="shared" si="16"/>
        <v>729.54914884132722</v>
      </c>
      <c r="AR6" s="6">
        <f t="shared" si="16"/>
        <v>3414.7190182759223</v>
      </c>
      <c r="AS6" s="6">
        <f t="shared" si="16"/>
        <v>319.42152761104353</v>
      </c>
      <c r="AT6" s="6">
        <f t="shared" si="16"/>
        <v>760.99904653123508</v>
      </c>
      <c r="AU6" s="6">
        <f t="shared" si="16"/>
        <v>2587.4819134326099</v>
      </c>
      <c r="AV6" s="6">
        <f t="shared" si="16"/>
        <v>841.2284695273338</v>
      </c>
      <c r="AW6" s="6">
        <f t="shared" si="16"/>
        <v>1610.1698779062863</v>
      </c>
      <c r="AX6" s="6">
        <f t="shared" si="16"/>
        <v>-596.6191739660062</v>
      </c>
      <c r="AZ6" s="6">
        <f t="shared" ref="AZ6:BJ6" si="17">(AN$28-0)/25*(ROW(AZ6)-3)</f>
        <v>11674.919942868808</v>
      </c>
      <c r="BA6" s="6">
        <f t="shared" si="17"/>
        <v>-846.40165693023573</v>
      </c>
      <c r="BB6" s="6">
        <f t="shared" si="17"/>
        <v>137.85256496794494</v>
      </c>
      <c r="BC6" s="6">
        <f t="shared" si="17"/>
        <v>707.32814709860043</v>
      </c>
      <c r="BD6" s="6">
        <f t="shared" si="17"/>
        <v>1931.6598053199955</v>
      </c>
      <c r="BE6" s="6">
        <f t="shared" si="17"/>
        <v>273.21780201394063</v>
      </c>
      <c r="BF6" s="6">
        <f t="shared" si="17"/>
        <v>134.54057526229997</v>
      </c>
      <c r="BG6" s="6">
        <f t="shared" si="17"/>
        <v>3889.854916911805</v>
      </c>
      <c r="BH6" s="6">
        <f t="shared" si="17"/>
        <v>349.21466015933322</v>
      </c>
      <c r="BI6" s="6">
        <f t="shared" si="17"/>
        <v>1346.8824055101668</v>
      </c>
      <c r="BJ6" s="6">
        <f t="shared" si="17"/>
        <v>3750.7707225549566</v>
      </c>
    </row>
    <row r="7" spans="1:62">
      <c r="A7" s="7">
        <v>2000</v>
      </c>
      <c r="B7" s="11">
        <f>'AMECO Output Gap'!B37/100</f>
        <v>2.7000000000000003E-2</v>
      </c>
      <c r="C7" s="7">
        <f>overheidsuitgaven_nominaal!C7/Inflatie!$D39</f>
        <v>167892.02154482374</v>
      </c>
      <c r="D7" s="7">
        <f>overheidsuitgaven_nominaal!E7/Inflatie!$D39</f>
        <v>27932.330530599949</v>
      </c>
      <c r="E7" s="7">
        <f>overheidsuitgaven_nominaal!J7/Inflatie!$D39</f>
        <v>5791.5866253153572</v>
      </c>
      <c r="F7" s="7">
        <f>overheidsuitgaven_nominaal!K7/Inflatie!$D39</f>
        <v>5883.6278839286633</v>
      </c>
      <c r="G7" s="7">
        <f>overheidsuitgaven_nominaal!L7/Inflatie!$D39</f>
        <v>19615.307085618548</v>
      </c>
      <c r="H7" s="7">
        <f>overheidsuitgaven_nominaal!M7/Inflatie!$D39</f>
        <v>5940.6058059273764</v>
      </c>
      <c r="I7" s="7">
        <f>overheidsuitgaven_nominaal!N7/Inflatie!$D39</f>
        <v>2267.7212955487862</v>
      </c>
      <c r="J7" s="7">
        <f>overheidsuitgaven_nominaal!O7/Inflatie!$D39</f>
        <v>18346.890883585656</v>
      </c>
      <c r="K7" s="7">
        <f>overheidsuitgaven_nominaal!P7/Inflatie!$D39</f>
        <v>5114.864228653717</v>
      </c>
      <c r="L7" s="7">
        <f>overheidsuitgaven_nominaal!Q7/Inflatie!$D39</f>
        <v>18398.609305092181</v>
      </c>
      <c r="M7" s="7">
        <f>overheidsuitgaven_nominaal!R7/Inflatie!$D39</f>
        <v>58600.477900553495</v>
      </c>
      <c r="N7" s="7"/>
      <c r="O7" s="6">
        <f t="shared" si="1"/>
        <v>169355.28255924469</v>
      </c>
      <c r="P7" s="6">
        <f t="shared" ref="P7:Y7" si="18">(D$28-D$2)/26*(ROW(P7)-2) + D$2</f>
        <v>27298.562927594747</v>
      </c>
      <c r="Q7" s="6">
        <f t="shared" si="18"/>
        <v>6073.254347962562</v>
      </c>
      <c r="R7" s="6">
        <f t="shared" si="18"/>
        <v>5623.282266466721</v>
      </c>
      <c r="S7" s="6">
        <f t="shared" si="18"/>
        <v>18232.760894565828</v>
      </c>
      <c r="T7" s="6">
        <f t="shared" si="18"/>
        <v>5613.6815098367142</v>
      </c>
      <c r="U7" s="6">
        <f t="shared" si="18"/>
        <v>14390.148303911674</v>
      </c>
      <c r="V7" s="6">
        <f t="shared" si="18"/>
        <v>20920.918848903333</v>
      </c>
      <c r="W7" s="6">
        <f t="shared" si="18"/>
        <v>4433.3798949500351</v>
      </c>
      <c r="X7" s="6">
        <f t="shared" si="18"/>
        <v>18419.593879193697</v>
      </c>
      <c r="Y7" s="6">
        <f t="shared" si="18"/>
        <v>65047.345598390828</v>
      </c>
      <c r="AA7" s="6">
        <f t="shared" si="3"/>
        <v>4046.6772103584663</v>
      </c>
      <c r="AB7" s="6">
        <f t="shared" ref="AB7:AK7" si="19">D7-D6</f>
        <v>-291.99870149217168</v>
      </c>
      <c r="AC7" s="6">
        <f t="shared" si="19"/>
        <v>-311.06789711002057</v>
      </c>
      <c r="AD7" s="6">
        <f t="shared" si="19"/>
        <v>518.27293166712661</v>
      </c>
      <c r="AE7" s="6">
        <f t="shared" si="19"/>
        <v>618.42083370572436</v>
      </c>
      <c r="AF7" s="6">
        <f t="shared" si="19"/>
        <v>387.11852106024253</v>
      </c>
      <c r="AG7" s="6">
        <f t="shared" si="19"/>
        <v>225.14168440230037</v>
      </c>
      <c r="AH7" s="6">
        <f t="shared" si="19"/>
        <v>1356.7495127992079</v>
      </c>
      <c r="AI7" s="6">
        <f t="shared" si="19"/>
        <v>371.2418422411547</v>
      </c>
      <c r="AJ7" s="6">
        <f t="shared" si="19"/>
        <v>341.48884795684353</v>
      </c>
      <c r="AK7" s="6">
        <f t="shared" si="19"/>
        <v>831.30963512805465</v>
      </c>
      <c r="AM7" s="7">
        <v>2000</v>
      </c>
      <c r="AN7" s="6">
        <f t="shared" ref="AN7:AX7" si="20">AN6+AA7</f>
        <v>14103.29890940414</v>
      </c>
      <c r="AO7" s="6">
        <f t="shared" si="20"/>
        <v>-149.97280008806047</v>
      </c>
      <c r="AP7" s="6">
        <f t="shared" si="20"/>
        <v>-63.421927628210142</v>
      </c>
      <c r="AQ7" s="6">
        <f t="shared" si="20"/>
        <v>1247.8220805084538</v>
      </c>
      <c r="AR7" s="6">
        <f t="shared" si="20"/>
        <v>4033.1398519816466</v>
      </c>
      <c r="AS7" s="6">
        <f t="shared" si="20"/>
        <v>706.54004867128606</v>
      </c>
      <c r="AT7" s="6">
        <f t="shared" si="20"/>
        <v>986.14073093353545</v>
      </c>
      <c r="AU7" s="6">
        <f t="shared" si="20"/>
        <v>3944.2314262318177</v>
      </c>
      <c r="AV7" s="6">
        <f t="shared" si="20"/>
        <v>1212.4703117684885</v>
      </c>
      <c r="AW7" s="6">
        <f t="shared" si="20"/>
        <v>1951.6587258631298</v>
      </c>
      <c r="AX7" s="6">
        <f t="shared" si="20"/>
        <v>234.69046116204845</v>
      </c>
      <c r="AZ7" s="6">
        <f t="shared" ref="AZ7:BJ7" si="21">(AN$28-0)/25*(ROW(AZ7)-3)</f>
        <v>15566.559923825078</v>
      </c>
      <c r="BA7" s="6">
        <f t="shared" si="21"/>
        <v>-1128.5355425736477</v>
      </c>
      <c r="BB7" s="6">
        <f t="shared" si="21"/>
        <v>183.80341995725991</v>
      </c>
      <c r="BC7" s="6">
        <f t="shared" si="21"/>
        <v>943.10419613146723</v>
      </c>
      <c r="BD7" s="6">
        <f t="shared" si="21"/>
        <v>2575.5464070933272</v>
      </c>
      <c r="BE7" s="6">
        <f t="shared" si="21"/>
        <v>364.29040268525421</v>
      </c>
      <c r="BF7" s="6">
        <f t="shared" si="21"/>
        <v>179.38743368306663</v>
      </c>
      <c r="BG7" s="6">
        <f t="shared" si="21"/>
        <v>5186.4732225490734</v>
      </c>
      <c r="BH7" s="6">
        <f t="shared" si="21"/>
        <v>465.619546879111</v>
      </c>
      <c r="BI7" s="6">
        <f t="shared" si="21"/>
        <v>1795.8432073468889</v>
      </c>
      <c r="BJ7" s="6">
        <f t="shared" si="21"/>
        <v>5001.0276300732758</v>
      </c>
    </row>
    <row r="8" spans="1:62">
      <c r="A8" s="7">
        <v>2001</v>
      </c>
      <c r="B8" s="11">
        <f>'AMECO Output Gap'!B38/100</f>
        <v>1.9E-2</v>
      </c>
      <c r="C8" s="7">
        <f>overheidsuitgaven_nominaal!C8/Inflatie!$D40</f>
        <v>175688.97718759745</v>
      </c>
      <c r="D8" s="7">
        <f>overheidsuitgaven_nominaal!E8/Inflatie!$D40</f>
        <v>27471.075045028541</v>
      </c>
      <c r="E8" s="7">
        <f>overheidsuitgaven_nominaal!J8/Inflatie!$D40</f>
        <v>6054.009977736755</v>
      </c>
      <c r="F8" s="7">
        <f>overheidsuitgaven_nominaal!K8/Inflatie!$D40</f>
        <v>6408.5355096265803</v>
      </c>
      <c r="G8" s="7">
        <f>overheidsuitgaven_nominaal!L8/Inflatie!$D40</f>
        <v>22080.425489730027</v>
      </c>
      <c r="H8" s="7">
        <f>overheidsuitgaven_nominaal!M8/Inflatie!$D40</f>
        <v>5998.1658605416987</v>
      </c>
      <c r="I8" s="7">
        <f>overheidsuitgaven_nominaal!N8/Inflatie!$D40</f>
        <v>2879.3565274966004</v>
      </c>
      <c r="J8" s="7">
        <f>overheidsuitgaven_nominaal!O8/Inflatie!$D40</f>
        <v>19458.290350525807</v>
      </c>
      <c r="K8" s="7">
        <f>overheidsuitgaven_nominaal!P8/Inflatie!$D40</f>
        <v>5857.7094445662542</v>
      </c>
      <c r="L8" s="7">
        <f>overheidsuitgaven_nominaal!Q8/Inflatie!$D40</f>
        <v>18819.467494733879</v>
      </c>
      <c r="M8" s="7">
        <f>overheidsuitgaven_nominaal!R8/Inflatie!$D40</f>
        <v>60661.941487611308</v>
      </c>
      <c r="N8" s="7"/>
      <c r="O8" s="6">
        <f t="shared" si="1"/>
        <v>173246.92254020096</v>
      </c>
      <c r="P8" s="6">
        <f t="shared" ref="P8:Y8" si="22">(D$28-D$2)/26*(ROW(P8)-2) + D$2</f>
        <v>27000.010225785602</v>
      </c>
      <c r="Q8" s="6">
        <f t="shared" si="22"/>
        <v>6117.5650898536987</v>
      </c>
      <c r="R8" s="6">
        <f t="shared" si="22"/>
        <v>5856.9453504083949</v>
      </c>
      <c r="S8" s="6">
        <f t="shared" si="22"/>
        <v>18873.073817585082</v>
      </c>
      <c r="T8" s="6">
        <f t="shared" si="22"/>
        <v>5704.0243319415813</v>
      </c>
      <c r="U8" s="6">
        <f t="shared" si="22"/>
        <v>13819.319909684185</v>
      </c>
      <c r="V8" s="6">
        <f t="shared" si="22"/>
        <v>22154.118765540581</v>
      </c>
      <c r="W8" s="6">
        <f t="shared" si="22"/>
        <v>4546.6720944704939</v>
      </c>
      <c r="X8" s="6">
        <f t="shared" si="22"/>
        <v>18860.135629001001</v>
      </c>
      <c r="Y8" s="6">
        <f t="shared" si="22"/>
        <v>66217.577242626954</v>
      </c>
      <c r="AA8" s="6">
        <f t="shared" si="3"/>
        <v>7796.9556427737116</v>
      </c>
      <c r="AB8" s="6">
        <f t="shared" ref="AB8:AK8" si="23">D8-D7</f>
        <v>-461.25548557140792</v>
      </c>
      <c r="AC8" s="6">
        <f t="shared" si="23"/>
        <v>262.42335242139779</v>
      </c>
      <c r="AD8" s="6">
        <f t="shared" si="23"/>
        <v>524.90762569791696</v>
      </c>
      <c r="AE8" s="6">
        <f t="shared" si="23"/>
        <v>2465.1184041114793</v>
      </c>
      <c r="AF8" s="6">
        <f t="shared" si="23"/>
        <v>57.560054614322326</v>
      </c>
      <c r="AG8" s="6">
        <f t="shared" si="23"/>
        <v>611.63523194781419</v>
      </c>
      <c r="AH8" s="6">
        <f t="shared" si="23"/>
        <v>1111.3994669401509</v>
      </c>
      <c r="AI8" s="6">
        <f t="shared" si="23"/>
        <v>742.84521591253724</v>
      </c>
      <c r="AJ8" s="6">
        <f t="shared" si="23"/>
        <v>420.85818964169812</v>
      </c>
      <c r="AK8" s="6">
        <f t="shared" si="23"/>
        <v>2061.4635870578131</v>
      </c>
      <c r="AM8" s="7">
        <v>2001</v>
      </c>
      <c r="AN8" s="6">
        <f t="shared" ref="AN8:AX8" si="24">AN7+AA8</f>
        <v>21900.254552177852</v>
      </c>
      <c r="AO8" s="6">
        <f t="shared" si="24"/>
        <v>-611.22828565946838</v>
      </c>
      <c r="AP8" s="6">
        <f t="shared" si="24"/>
        <v>199.00142479318765</v>
      </c>
      <c r="AQ8" s="6">
        <f t="shared" si="24"/>
        <v>1772.7297062063708</v>
      </c>
      <c r="AR8" s="6">
        <f t="shared" si="24"/>
        <v>6498.258256093126</v>
      </c>
      <c r="AS8" s="6">
        <f t="shared" si="24"/>
        <v>764.10010328560838</v>
      </c>
      <c r="AT8" s="6">
        <f t="shared" si="24"/>
        <v>1597.7759628813496</v>
      </c>
      <c r="AU8" s="6">
        <f t="shared" si="24"/>
        <v>5055.6308931719686</v>
      </c>
      <c r="AV8" s="6">
        <f t="shared" si="24"/>
        <v>1955.3155276810257</v>
      </c>
      <c r="AW8" s="6">
        <f t="shared" si="24"/>
        <v>2372.5169155048279</v>
      </c>
      <c r="AX8" s="6">
        <f t="shared" si="24"/>
        <v>2296.1540482198616</v>
      </c>
      <c r="AZ8" s="6">
        <f t="shared" ref="AZ8:BJ8" si="25">(AN$28-0)/25*(ROW(AZ8)-3)</f>
        <v>19458.199904781348</v>
      </c>
      <c r="BA8" s="6">
        <f t="shared" si="25"/>
        <v>-1410.6694282170597</v>
      </c>
      <c r="BB8" s="6">
        <f t="shared" si="25"/>
        <v>229.75427494657487</v>
      </c>
      <c r="BC8" s="6">
        <f t="shared" si="25"/>
        <v>1178.8802451643342</v>
      </c>
      <c r="BD8" s="6">
        <f t="shared" si="25"/>
        <v>3219.4330088666588</v>
      </c>
      <c r="BE8" s="6">
        <f t="shared" si="25"/>
        <v>455.36300335656779</v>
      </c>
      <c r="BF8" s="6">
        <f t="shared" si="25"/>
        <v>224.2342921038333</v>
      </c>
      <c r="BG8" s="6">
        <f t="shared" si="25"/>
        <v>6483.0915281863417</v>
      </c>
      <c r="BH8" s="6">
        <f t="shared" si="25"/>
        <v>582.02443359888878</v>
      </c>
      <c r="BI8" s="6">
        <f t="shared" si="25"/>
        <v>2244.804009183611</v>
      </c>
      <c r="BJ8" s="6">
        <f t="shared" si="25"/>
        <v>6251.2845375915949</v>
      </c>
    </row>
    <row r="9" spans="1:62">
      <c r="A9" s="7">
        <v>2002</v>
      </c>
      <c r="B9" s="11">
        <f>'AMECO Output Gap'!B39/100</f>
        <v>-4.0000000000000001E-3</v>
      </c>
      <c r="C9" s="7">
        <f>overheidsuitgaven_nominaal!C9/Inflatie!$D41</f>
        <v>179110.48906528129</v>
      </c>
      <c r="D9" s="7">
        <f>overheidsuitgaven_nominaal!E9/Inflatie!$D41</f>
        <v>26082.518484778378</v>
      </c>
      <c r="E9" s="7">
        <f>overheidsuitgaven_nominaal!J9/Inflatie!$D41</f>
        <v>5846.7589437705183</v>
      </c>
      <c r="F9" s="7">
        <f>overheidsuitgaven_nominaal!K9/Inflatie!$D41</f>
        <v>6838.5394671924732</v>
      </c>
      <c r="G9" s="7">
        <f>overheidsuitgaven_nominaal!L9/Inflatie!$D41</f>
        <v>21733.249935283584</v>
      </c>
      <c r="H9" s="7">
        <f>overheidsuitgaven_nominaal!M9/Inflatie!$D41</f>
        <v>6438.3903946237142</v>
      </c>
      <c r="I9" s="7">
        <f>overheidsuitgaven_nominaal!N9/Inflatie!$D41</f>
        <v>3039.1690296940105</v>
      </c>
      <c r="J9" s="7">
        <f>overheidsuitgaven_nominaal!O9/Inflatie!$D41</f>
        <v>21111.341356240111</v>
      </c>
      <c r="K9" s="7">
        <f>overheidsuitgaven_nominaal!P9/Inflatie!$D41</f>
        <v>6061.1537433881358</v>
      </c>
      <c r="L9" s="7">
        <f>overheidsuitgaven_nominaal!Q9/Inflatie!$D41</f>
        <v>19729.23136939219</v>
      </c>
      <c r="M9" s="7">
        <f>overheidsuitgaven_nominaal!R9/Inflatie!$D41</f>
        <v>62230.136340918179</v>
      </c>
      <c r="N9" s="7"/>
      <c r="O9" s="6">
        <f t="shared" si="1"/>
        <v>177138.5625211572</v>
      </c>
      <c r="P9" s="6">
        <f t="shared" ref="P9:Y9" si="26">(D$28-D$2)/26*(ROW(P9)-2) + D$2</f>
        <v>26701.457523976456</v>
      </c>
      <c r="Q9" s="6">
        <f t="shared" si="26"/>
        <v>6161.8758317448364</v>
      </c>
      <c r="R9" s="6">
        <f t="shared" si="26"/>
        <v>6090.6084343500697</v>
      </c>
      <c r="S9" s="6">
        <f t="shared" si="26"/>
        <v>19513.386740604339</v>
      </c>
      <c r="T9" s="6">
        <f t="shared" si="26"/>
        <v>5794.3671540464484</v>
      </c>
      <c r="U9" s="6">
        <f t="shared" si="26"/>
        <v>13248.491515456697</v>
      </c>
      <c r="V9" s="6">
        <f t="shared" si="26"/>
        <v>23387.318682177829</v>
      </c>
      <c r="W9" s="6">
        <f t="shared" si="26"/>
        <v>4659.9642939909536</v>
      </c>
      <c r="X9" s="6">
        <f t="shared" si="26"/>
        <v>19300.677378808308</v>
      </c>
      <c r="Y9" s="6">
        <f t="shared" si="26"/>
        <v>67387.808886863073</v>
      </c>
      <c r="AA9" s="6">
        <f t="shared" si="3"/>
        <v>3421.5118776838353</v>
      </c>
      <c r="AB9" s="6">
        <f t="shared" ref="AB9:AK9" si="27">D9-D8</f>
        <v>-1388.5565602501629</v>
      </c>
      <c r="AC9" s="6">
        <f t="shared" si="27"/>
        <v>-207.25103396623672</v>
      </c>
      <c r="AD9" s="6">
        <f t="shared" si="27"/>
        <v>430.00395756589296</v>
      </c>
      <c r="AE9" s="6">
        <f t="shared" si="27"/>
        <v>-347.17555444644313</v>
      </c>
      <c r="AF9" s="6">
        <f t="shared" si="27"/>
        <v>440.22453408201545</v>
      </c>
      <c r="AG9" s="6">
        <f t="shared" si="27"/>
        <v>159.81250219741014</v>
      </c>
      <c r="AH9" s="6">
        <f t="shared" si="27"/>
        <v>1653.0510057143038</v>
      </c>
      <c r="AI9" s="6">
        <f t="shared" si="27"/>
        <v>203.4442988218816</v>
      </c>
      <c r="AJ9" s="6">
        <f t="shared" si="27"/>
        <v>909.76387465831067</v>
      </c>
      <c r="AK9" s="6">
        <f t="shared" si="27"/>
        <v>1568.1948533068717</v>
      </c>
      <c r="AM9" s="7">
        <v>2002</v>
      </c>
      <c r="AN9" s="6">
        <f t="shared" ref="AN9:AX9" si="28">AN8+AA9</f>
        <v>25321.766429861687</v>
      </c>
      <c r="AO9" s="6">
        <f t="shared" si="28"/>
        <v>-1999.7848459096313</v>
      </c>
      <c r="AP9" s="6">
        <f t="shared" si="28"/>
        <v>-8.2496091730490662</v>
      </c>
      <c r="AQ9" s="6">
        <f t="shared" si="28"/>
        <v>2202.7336637722638</v>
      </c>
      <c r="AR9" s="6">
        <f t="shared" si="28"/>
        <v>6151.0827016466828</v>
      </c>
      <c r="AS9" s="6">
        <f t="shared" si="28"/>
        <v>1204.3246373676238</v>
      </c>
      <c r="AT9" s="6">
        <f t="shared" si="28"/>
        <v>1757.5884650787598</v>
      </c>
      <c r="AU9" s="6">
        <f t="shared" si="28"/>
        <v>6708.6818988862724</v>
      </c>
      <c r="AV9" s="6">
        <f t="shared" si="28"/>
        <v>2158.7598265029073</v>
      </c>
      <c r="AW9" s="6">
        <f t="shared" si="28"/>
        <v>3282.2807901631386</v>
      </c>
      <c r="AX9" s="6">
        <f t="shared" si="28"/>
        <v>3864.3489015267332</v>
      </c>
      <c r="AZ9" s="6">
        <f t="shared" ref="AZ9:BJ9" si="29">(AN$28-0)/25*(ROW(AZ9)-3)</f>
        <v>23349.839885737616</v>
      </c>
      <c r="BA9" s="6">
        <f t="shared" si="29"/>
        <v>-1692.8033138604715</v>
      </c>
      <c r="BB9" s="6">
        <f t="shared" si="29"/>
        <v>275.70512993588989</v>
      </c>
      <c r="BC9" s="6">
        <f t="shared" si="29"/>
        <v>1414.6562941972009</v>
      </c>
      <c r="BD9" s="6">
        <f t="shared" si="29"/>
        <v>3863.319610639991</v>
      </c>
      <c r="BE9" s="6">
        <f t="shared" si="29"/>
        <v>546.43560402788125</v>
      </c>
      <c r="BF9" s="6">
        <f t="shared" si="29"/>
        <v>269.08115052459993</v>
      </c>
      <c r="BG9" s="6">
        <f t="shared" si="29"/>
        <v>7779.7098338236101</v>
      </c>
      <c r="BH9" s="6">
        <f t="shared" si="29"/>
        <v>698.42932031866644</v>
      </c>
      <c r="BI9" s="6">
        <f t="shared" si="29"/>
        <v>2693.7648110203336</v>
      </c>
      <c r="BJ9" s="6">
        <f t="shared" si="29"/>
        <v>7501.5414451099132</v>
      </c>
    </row>
    <row r="10" spans="1:62">
      <c r="A10" s="7">
        <v>2003</v>
      </c>
      <c r="B10" s="11">
        <f>'AMECO Output Gap'!B40/100</f>
        <v>-2.3E-2</v>
      </c>
      <c r="C10" s="7">
        <f>overheidsuitgaven_nominaal!C10/Inflatie!$D42</f>
        <v>184063.86754996606</v>
      </c>
      <c r="D10" s="7">
        <f>overheidsuitgaven_nominaal!E10/Inflatie!$D42</f>
        <v>25356.884060581342</v>
      </c>
      <c r="E10" s="7">
        <f>overheidsuitgaven_nominaal!J10/Inflatie!$D42</f>
        <v>5822.0613579685432</v>
      </c>
      <c r="F10" s="7">
        <f>overheidsuitgaven_nominaal!K10/Inflatie!$D42</f>
        <v>7208.9165255839471</v>
      </c>
      <c r="G10" s="7">
        <f>overheidsuitgaven_nominaal!L10/Inflatie!$D42</f>
        <v>21642.810435670373</v>
      </c>
      <c r="H10" s="7">
        <f>overheidsuitgaven_nominaal!M10/Inflatie!$D42</f>
        <v>6719.8633715145888</v>
      </c>
      <c r="I10" s="7">
        <f>overheidsuitgaven_nominaal!N10/Inflatie!$D42</f>
        <v>3509.2976736996598</v>
      </c>
      <c r="J10" s="7">
        <f>overheidsuitgaven_nominaal!O10/Inflatie!$D42</f>
        <v>22201.728326035354</v>
      </c>
      <c r="K10" s="7">
        <f>overheidsuitgaven_nominaal!P10/Inflatie!$D42</f>
        <v>6077.4290147732327</v>
      </c>
      <c r="L10" s="7">
        <f>overheidsuitgaven_nominaal!Q10/Inflatie!$D42</f>
        <v>20965.042189308242</v>
      </c>
      <c r="M10" s="7">
        <f>overheidsuitgaven_nominaal!R10/Inflatie!$D42</f>
        <v>64559.834594830769</v>
      </c>
      <c r="N10" s="7"/>
      <c r="O10" s="6">
        <f t="shared" si="1"/>
        <v>181030.20250211348</v>
      </c>
      <c r="P10" s="6">
        <f t="shared" ref="P10:Y10" si="30">(D$28-D$2)/26*(ROW(P10)-2) + D$2</f>
        <v>26402.904822167315</v>
      </c>
      <c r="Q10" s="6">
        <f t="shared" si="30"/>
        <v>6206.1865736359732</v>
      </c>
      <c r="R10" s="6">
        <f t="shared" si="30"/>
        <v>6324.2715182917436</v>
      </c>
      <c r="S10" s="6">
        <f t="shared" si="30"/>
        <v>20153.699663623593</v>
      </c>
      <c r="T10" s="6">
        <f t="shared" si="30"/>
        <v>5884.7099761513164</v>
      </c>
      <c r="U10" s="6">
        <f t="shared" si="30"/>
        <v>12677.663121229209</v>
      </c>
      <c r="V10" s="6">
        <f t="shared" si="30"/>
        <v>24620.518598815077</v>
      </c>
      <c r="W10" s="6">
        <f t="shared" si="30"/>
        <v>4773.2564935114124</v>
      </c>
      <c r="X10" s="6">
        <f t="shared" si="30"/>
        <v>19741.219128615612</v>
      </c>
      <c r="Y10" s="6">
        <f t="shared" si="30"/>
        <v>68558.040531099192</v>
      </c>
      <c r="AA10" s="6">
        <f t="shared" si="3"/>
        <v>4953.3784846847702</v>
      </c>
      <c r="AB10" s="6">
        <f t="shared" ref="AB10:AK10" si="31">D10-D9</f>
        <v>-725.63442419703642</v>
      </c>
      <c r="AC10" s="6">
        <f t="shared" si="31"/>
        <v>-24.697585801975038</v>
      </c>
      <c r="AD10" s="6">
        <f t="shared" si="31"/>
        <v>370.37705839147384</v>
      </c>
      <c r="AE10" s="6">
        <f t="shared" si="31"/>
        <v>-90.439499613210501</v>
      </c>
      <c r="AF10" s="6">
        <f t="shared" si="31"/>
        <v>281.47297689087463</v>
      </c>
      <c r="AG10" s="6">
        <f t="shared" si="31"/>
        <v>470.12864400564922</v>
      </c>
      <c r="AH10" s="6">
        <f t="shared" si="31"/>
        <v>1090.3869697952432</v>
      </c>
      <c r="AI10" s="6">
        <f t="shared" si="31"/>
        <v>16.275271385096858</v>
      </c>
      <c r="AJ10" s="6">
        <f t="shared" si="31"/>
        <v>1235.8108199160524</v>
      </c>
      <c r="AK10" s="6">
        <f t="shared" si="31"/>
        <v>2329.6982539125893</v>
      </c>
      <c r="AM10" s="7">
        <v>2003</v>
      </c>
      <c r="AN10" s="6">
        <f t="shared" ref="AN10:AX10" si="32">AN9+AA10</f>
        <v>30275.144914546458</v>
      </c>
      <c r="AO10" s="6">
        <f t="shared" si="32"/>
        <v>-2725.4192701066677</v>
      </c>
      <c r="AP10" s="6">
        <f t="shared" si="32"/>
        <v>-32.947194975024104</v>
      </c>
      <c r="AQ10" s="6">
        <f t="shared" si="32"/>
        <v>2573.1107221637376</v>
      </c>
      <c r="AR10" s="6">
        <f t="shared" si="32"/>
        <v>6060.6432020334723</v>
      </c>
      <c r="AS10" s="6">
        <f t="shared" si="32"/>
        <v>1485.7976142584985</v>
      </c>
      <c r="AT10" s="6">
        <f t="shared" si="32"/>
        <v>2227.717109084409</v>
      </c>
      <c r="AU10" s="6">
        <f t="shared" si="32"/>
        <v>7799.0688686815156</v>
      </c>
      <c r="AV10" s="6">
        <f t="shared" si="32"/>
        <v>2175.0350978880042</v>
      </c>
      <c r="AW10" s="6">
        <f t="shared" si="32"/>
        <v>4518.091610079191</v>
      </c>
      <c r="AX10" s="6">
        <f t="shared" si="32"/>
        <v>6194.0471554393225</v>
      </c>
      <c r="AZ10" s="6">
        <f t="shared" ref="AZ10:BJ10" si="33">(AN$28-0)/25*(ROW(AZ10)-3)</f>
        <v>27241.479866693888</v>
      </c>
      <c r="BA10" s="6">
        <f t="shared" si="33"/>
        <v>-1974.9371995038834</v>
      </c>
      <c r="BB10" s="6">
        <f t="shared" si="33"/>
        <v>321.65598492520485</v>
      </c>
      <c r="BC10" s="6">
        <f t="shared" si="33"/>
        <v>1650.4323432300675</v>
      </c>
      <c r="BD10" s="6">
        <f t="shared" si="33"/>
        <v>4507.2062124133226</v>
      </c>
      <c r="BE10" s="6">
        <f t="shared" si="33"/>
        <v>637.50820469919483</v>
      </c>
      <c r="BF10" s="6">
        <f t="shared" si="33"/>
        <v>313.92800894536663</v>
      </c>
      <c r="BG10" s="6">
        <f t="shared" si="33"/>
        <v>9076.3281394608784</v>
      </c>
      <c r="BH10" s="6">
        <f t="shared" si="33"/>
        <v>814.83420703844422</v>
      </c>
      <c r="BI10" s="6">
        <f t="shared" si="33"/>
        <v>3142.7256128570557</v>
      </c>
      <c r="BJ10" s="6">
        <f t="shared" si="33"/>
        <v>8751.7983526282333</v>
      </c>
    </row>
    <row r="11" spans="1:62">
      <c r="A11" s="7">
        <v>2004</v>
      </c>
      <c r="B11" s="11">
        <f>'AMECO Output Gap'!B41/100</f>
        <v>-2.1000000000000001E-2</v>
      </c>
      <c r="C11" s="7">
        <f>overheidsuitgaven_nominaal!C11/Inflatie!$D43</f>
        <v>183877.73349659663</v>
      </c>
      <c r="D11" s="7">
        <f>overheidsuitgaven_nominaal!E11/Inflatie!$D43</f>
        <v>25338.432378065623</v>
      </c>
      <c r="E11" s="7">
        <f>overheidsuitgaven_nominaal!J11/Inflatie!$D43</f>
        <v>5780.4766266259576</v>
      </c>
      <c r="F11" s="7">
        <f>overheidsuitgaven_nominaal!K11/Inflatie!$D43</f>
        <v>7371.4407979911357</v>
      </c>
      <c r="G11" s="7">
        <f>overheidsuitgaven_nominaal!L11/Inflatie!$D43</f>
        <v>20692.880668081358</v>
      </c>
      <c r="H11" s="7">
        <f>overheidsuitgaven_nominaal!M11/Inflatie!$D43</f>
        <v>6805.57009972168</v>
      </c>
      <c r="I11" s="7">
        <f>overheidsuitgaven_nominaal!N11/Inflatie!$D43</f>
        <v>2277.80863354034</v>
      </c>
      <c r="J11" s="7">
        <f>overheidsuitgaven_nominaal!O11/Inflatie!$D43</f>
        <v>22590.258649339277</v>
      </c>
      <c r="K11" s="7">
        <f>overheidsuitgaven_nominaal!P11/Inflatie!$D43</f>
        <v>6048.68819528532</v>
      </c>
      <c r="L11" s="7">
        <f>overheidsuitgaven_nominaal!Q11/Inflatie!$D43</f>
        <v>21554.022855883821</v>
      </c>
      <c r="M11" s="7">
        <f>overheidsuitgaven_nominaal!R11/Inflatie!$D43</f>
        <v>65418.154592062121</v>
      </c>
      <c r="N11" s="7"/>
      <c r="O11" s="6">
        <f t="shared" si="1"/>
        <v>184921.84248306975</v>
      </c>
      <c r="P11" s="6">
        <f t="shared" ref="P11:Y11" si="34">(D$28-D$2)/26*(ROW(P11)-2) + D$2</f>
        <v>26104.352120358169</v>
      </c>
      <c r="Q11" s="6">
        <f t="shared" si="34"/>
        <v>6250.49731552711</v>
      </c>
      <c r="R11" s="6">
        <f t="shared" si="34"/>
        <v>6557.9346022334175</v>
      </c>
      <c r="S11" s="6">
        <f t="shared" si="34"/>
        <v>20794.01258664285</v>
      </c>
      <c r="T11" s="6">
        <f t="shared" si="34"/>
        <v>5975.0527982561835</v>
      </c>
      <c r="U11" s="6">
        <f t="shared" si="34"/>
        <v>12106.83472700172</v>
      </c>
      <c r="V11" s="6">
        <f t="shared" si="34"/>
        <v>25853.718515452325</v>
      </c>
      <c r="W11" s="6">
        <f t="shared" si="34"/>
        <v>4886.5486930318712</v>
      </c>
      <c r="X11" s="6">
        <f t="shared" si="34"/>
        <v>20181.760878422916</v>
      </c>
      <c r="Y11" s="6">
        <f t="shared" si="34"/>
        <v>69728.272175335325</v>
      </c>
      <c r="AA11" s="6">
        <f t="shared" si="3"/>
        <v>-186.13405336943106</v>
      </c>
      <c r="AB11" s="6">
        <f t="shared" ref="AB11:AK11" si="35">D11-D10</f>
        <v>-18.451682515718858</v>
      </c>
      <c r="AC11" s="6">
        <f t="shared" si="35"/>
        <v>-41.584731342585656</v>
      </c>
      <c r="AD11" s="6">
        <f t="shared" si="35"/>
        <v>162.52427240718862</v>
      </c>
      <c r="AE11" s="6">
        <f t="shared" si="35"/>
        <v>-949.92976758901568</v>
      </c>
      <c r="AF11" s="6">
        <f t="shared" si="35"/>
        <v>85.706728207091146</v>
      </c>
      <c r="AG11" s="6">
        <f t="shared" si="35"/>
        <v>-1231.4890401593198</v>
      </c>
      <c r="AH11" s="6">
        <f t="shared" si="35"/>
        <v>388.53032330392307</v>
      </c>
      <c r="AI11" s="6">
        <f t="shared" si="35"/>
        <v>-28.740819487912631</v>
      </c>
      <c r="AJ11" s="6">
        <f t="shared" si="35"/>
        <v>588.98066657557865</v>
      </c>
      <c r="AK11" s="6">
        <f t="shared" si="35"/>
        <v>858.31999723135232</v>
      </c>
      <c r="AM11" s="7">
        <v>2004</v>
      </c>
      <c r="AN11" s="6">
        <f t="shared" ref="AN11:AX11" si="36">AN10+AA11</f>
        <v>30089.010861177027</v>
      </c>
      <c r="AO11" s="6">
        <f t="shared" si="36"/>
        <v>-2743.8709526223865</v>
      </c>
      <c r="AP11" s="6">
        <f t="shared" si="36"/>
        <v>-74.531926317609759</v>
      </c>
      <c r="AQ11" s="6">
        <f t="shared" si="36"/>
        <v>2735.6349945709262</v>
      </c>
      <c r="AR11" s="6">
        <f t="shared" si="36"/>
        <v>5110.7134344444567</v>
      </c>
      <c r="AS11" s="6">
        <f t="shared" si="36"/>
        <v>1571.5043424655896</v>
      </c>
      <c r="AT11" s="6">
        <f t="shared" si="36"/>
        <v>996.22806892508925</v>
      </c>
      <c r="AU11" s="6">
        <f t="shared" si="36"/>
        <v>8187.5991919854387</v>
      </c>
      <c r="AV11" s="6">
        <f t="shared" si="36"/>
        <v>2146.2942784000916</v>
      </c>
      <c r="AW11" s="6">
        <f t="shared" si="36"/>
        <v>5107.0722766547697</v>
      </c>
      <c r="AX11" s="6">
        <f t="shared" si="36"/>
        <v>7052.3671526706748</v>
      </c>
      <c r="AZ11" s="6">
        <f t="shared" ref="AZ11:BJ11" si="37">(AN$28-0)/25*(ROW(AZ11)-3)</f>
        <v>31133.119847650156</v>
      </c>
      <c r="BA11" s="6">
        <f t="shared" si="37"/>
        <v>-2257.0710851472954</v>
      </c>
      <c r="BB11" s="6">
        <f t="shared" si="37"/>
        <v>367.60683991451981</v>
      </c>
      <c r="BC11" s="6">
        <f t="shared" si="37"/>
        <v>1886.2083922629345</v>
      </c>
      <c r="BD11" s="6">
        <f t="shared" si="37"/>
        <v>5151.0928141866543</v>
      </c>
      <c r="BE11" s="6">
        <f t="shared" si="37"/>
        <v>728.58080537050841</v>
      </c>
      <c r="BF11" s="6">
        <f t="shared" si="37"/>
        <v>358.77486736613326</v>
      </c>
      <c r="BG11" s="6">
        <f t="shared" si="37"/>
        <v>10372.946445098147</v>
      </c>
      <c r="BH11" s="6">
        <f t="shared" si="37"/>
        <v>931.239093758222</v>
      </c>
      <c r="BI11" s="6">
        <f t="shared" si="37"/>
        <v>3591.6864146937778</v>
      </c>
      <c r="BJ11" s="6">
        <f t="shared" si="37"/>
        <v>10002.055260146552</v>
      </c>
    </row>
    <row r="12" spans="1:62">
      <c r="A12" s="7">
        <v>2005</v>
      </c>
      <c r="B12" s="11">
        <f>'AMECO Output Gap'!B42/100</f>
        <v>-1.6E-2</v>
      </c>
      <c r="C12" s="7">
        <f>overheidsuitgaven_nominaal!C12/Inflatie!$D44</f>
        <v>184130.06199997003</v>
      </c>
      <c r="D12" s="7">
        <f>overheidsuitgaven_nominaal!E12/Inflatie!$D44</f>
        <v>25560.778024455223</v>
      </c>
      <c r="E12" s="7">
        <f>overheidsuitgaven_nominaal!J12/Inflatie!$D44</f>
        <v>5266.6222607656618</v>
      </c>
      <c r="F12" s="7">
        <f>overheidsuitgaven_nominaal!K12/Inflatie!$D44</f>
        <v>7454.1149941119957</v>
      </c>
      <c r="G12" s="7">
        <f>overheidsuitgaven_nominaal!L12/Inflatie!$D44</f>
        <v>20259.620535750113</v>
      </c>
      <c r="H12" s="7">
        <f>overheidsuitgaven_nominaal!M12/Inflatie!$D44</f>
        <v>6819.9226264966965</v>
      </c>
      <c r="I12" s="7">
        <f>overheidsuitgaven_nominaal!N12/Inflatie!$D44</f>
        <v>1826.4426230702973</v>
      </c>
      <c r="J12" s="7">
        <f>overheidsuitgaven_nominaal!O12/Inflatie!$D44</f>
        <v>23185.696212074166</v>
      </c>
      <c r="K12" s="7">
        <f>overheidsuitgaven_nominaal!P12/Inflatie!$D44</f>
        <v>6082.1245750630569</v>
      </c>
      <c r="L12" s="7">
        <f>overheidsuitgaven_nominaal!Q12/Inflatie!$D44</f>
        <v>22343.507585278105</v>
      </c>
      <c r="M12" s="7">
        <f>overheidsuitgaven_nominaal!R12/Inflatie!$D44</f>
        <v>65331.232562904712</v>
      </c>
      <c r="N12" s="7"/>
      <c r="O12" s="6">
        <f t="shared" si="1"/>
        <v>188813.48246402602</v>
      </c>
      <c r="P12" s="6">
        <f t="shared" ref="P12:Y12" si="38">(D$28-D$2)/26*(ROW(P12)-2) + D$2</f>
        <v>25805.799418549024</v>
      </c>
      <c r="Q12" s="6">
        <f t="shared" si="38"/>
        <v>6294.8080574182477</v>
      </c>
      <c r="R12" s="6">
        <f t="shared" si="38"/>
        <v>6791.5976861750914</v>
      </c>
      <c r="S12" s="6">
        <f t="shared" si="38"/>
        <v>21434.325509662107</v>
      </c>
      <c r="T12" s="6">
        <f t="shared" si="38"/>
        <v>6065.3956203610505</v>
      </c>
      <c r="U12" s="6">
        <f t="shared" si="38"/>
        <v>11536.006332774232</v>
      </c>
      <c r="V12" s="6">
        <f t="shared" si="38"/>
        <v>27086.918432089573</v>
      </c>
      <c r="W12" s="6">
        <f t="shared" si="38"/>
        <v>4999.8408925523299</v>
      </c>
      <c r="X12" s="6">
        <f t="shared" si="38"/>
        <v>20622.302628230223</v>
      </c>
      <c r="Y12" s="6">
        <f t="shared" si="38"/>
        <v>70898.503819571444</v>
      </c>
      <c r="AA12" s="6">
        <f t="shared" si="3"/>
        <v>252.32850337339914</v>
      </c>
      <c r="AB12" s="6">
        <f t="shared" ref="AB12:AK12" si="39">D12-D11</f>
        <v>222.34564638960001</v>
      </c>
      <c r="AC12" s="6">
        <f t="shared" si="39"/>
        <v>-513.85436586029573</v>
      </c>
      <c r="AD12" s="6">
        <f t="shared" si="39"/>
        <v>82.674196120859961</v>
      </c>
      <c r="AE12" s="6">
        <f t="shared" si="39"/>
        <v>-433.26013233124468</v>
      </c>
      <c r="AF12" s="6">
        <f t="shared" si="39"/>
        <v>14.352526775016486</v>
      </c>
      <c r="AG12" s="6">
        <f t="shared" si="39"/>
        <v>-451.36601047004274</v>
      </c>
      <c r="AH12" s="6">
        <f t="shared" si="39"/>
        <v>595.43756273488907</v>
      </c>
      <c r="AI12" s="6">
        <f t="shared" si="39"/>
        <v>33.436379777736875</v>
      </c>
      <c r="AJ12" s="6">
        <f t="shared" si="39"/>
        <v>789.48472939428393</v>
      </c>
      <c r="AK12" s="6">
        <f t="shared" si="39"/>
        <v>-86.92202915740927</v>
      </c>
      <c r="AM12" s="7">
        <v>2005</v>
      </c>
      <c r="AN12" s="6">
        <f t="shared" ref="AN12:AX12" si="40">AN11+AA12</f>
        <v>30341.339364550426</v>
      </c>
      <c r="AO12" s="6">
        <f t="shared" si="40"/>
        <v>-2521.5253062327865</v>
      </c>
      <c r="AP12" s="6">
        <f t="shared" si="40"/>
        <v>-588.38629217790549</v>
      </c>
      <c r="AQ12" s="6">
        <f t="shared" si="40"/>
        <v>2818.3091906917862</v>
      </c>
      <c r="AR12" s="6">
        <f t="shared" si="40"/>
        <v>4677.453302113212</v>
      </c>
      <c r="AS12" s="6">
        <f t="shared" si="40"/>
        <v>1585.8568692406061</v>
      </c>
      <c r="AT12" s="6">
        <f t="shared" si="40"/>
        <v>544.86205845504651</v>
      </c>
      <c r="AU12" s="6">
        <f t="shared" si="40"/>
        <v>8783.0367547203277</v>
      </c>
      <c r="AV12" s="6">
        <f t="shared" si="40"/>
        <v>2179.7306581778284</v>
      </c>
      <c r="AW12" s="6">
        <f t="shared" si="40"/>
        <v>5896.5570060490536</v>
      </c>
      <c r="AX12" s="6">
        <f t="shared" si="40"/>
        <v>6965.4451235132656</v>
      </c>
      <c r="AZ12" s="6">
        <f t="shared" ref="AZ12:BJ12" si="41">(AN$28-0)/25*(ROW(AZ12)-3)</f>
        <v>35024.759828606424</v>
      </c>
      <c r="BA12" s="6">
        <f t="shared" si="41"/>
        <v>-2539.2049707907072</v>
      </c>
      <c r="BB12" s="6">
        <f t="shared" si="41"/>
        <v>413.55769490383477</v>
      </c>
      <c r="BC12" s="6">
        <f t="shared" si="41"/>
        <v>2121.9844412958014</v>
      </c>
      <c r="BD12" s="6">
        <f t="shared" si="41"/>
        <v>5794.979415959986</v>
      </c>
      <c r="BE12" s="6">
        <f t="shared" si="41"/>
        <v>819.653406041822</v>
      </c>
      <c r="BF12" s="6">
        <f t="shared" si="41"/>
        <v>403.6217257868999</v>
      </c>
      <c r="BG12" s="6">
        <f t="shared" si="41"/>
        <v>11669.564750735415</v>
      </c>
      <c r="BH12" s="6">
        <f t="shared" si="41"/>
        <v>1047.6439804779998</v>
      </c>
      <c r="BI12" s="6">
        <f t="shared" si="41"/>
        <v>4040.6472165304999</v>
      </c>
      <c r="BJ12" s="6">
        <f t="shared" si="41"/>
        <v>11252.31216766487</v>
      </c>
    </row>
    <row r="13" spans="1:62">
      <c r="A13" s="7">
        <v>2006</v>
      </c>
      <c r="B13" s="11">
        <f>'AMECO Output Gap'!B43/100</f>
        <v>0</v>
      </c>
      <c r="C13" s="7">
        <f>overheidsuitgaven_nominaal!C13/Inflatie!$D45</f>
        <v>196129.31766802497</v>
      </c>
      <c r="D13" s="7">
        <f>overheidsuitgaven_nominaal!E13/Inflatie!$D45</f>
        <v>26052.986218269318</v>
      </c>
      <c r="E13" s="7">
        <f>overheidsuitgaven_nominaal!J13/Inflatie!$D45</f>
        <v>5740.9210081158599</v>
      </c>
      <c r="F13" s="7">
        <f>overheidsuitgaven_nominaal!K13/Inflatie!$D45</f>
        <v>7983.4682769111168</v>
      </c>
      <c r="G13" s="7">
        <f>overheidsuitgaven_nominaal!L13/Inflatie!$D45</f>
        <v>20714.1771342133</v>
      </c>
      <c r="H13" s="7">
        <f>overheidsuitgaven_nominaal!M13/Inflatie!$D45</f>
        <v>7128.9804382839584</v>
      </c>
      <c r="I13" s="7">
        <f>overheidsuitgaven_nominaal!N13/Inflatie!$D45</f>
        <v>2053.0906891901409</v>
      </c>
      <c r="J13" s="7">
        <f>overheidsuitgaven_nominaal!O13/Inflatie!$D45</f>
        <v>30039.307311593304</v>
      </c>
      <c r="K13" s="7">
        <f>overheidsuitgaven_nominaal!P13/Inflatie!$D45</f>
        <v>6343.3156020439646</v>
      </c>
      <c r="L13" s="7">
        <f>overheidsuitgaven_nominaal!Q13/Inflatie!$D45</f>
        <v>23492.615871034457</v>
      </c>
      <c r="M13" s="7">
        <f>overheidsuitgaven_nominaal!R13/Inflatie!$D45</f>
        <v>66580.455118369544</v>
      </c>
      <c r="N13" s="7"/>
      <c r="O13" s="6">
        <f t="shared" si="1"/>
        <v>192705.12244498229</v>
      </c>
      <c r="P13" s="6">
        <f t="shared" ref="P13:Y13" si="42">(D$28-D$2)/26*(ROW(P13)-2) + D$2</f>
        <v>25507.246716739879</v>
      </c>
      <c r="Q13" s="6">
        <f t="shared" si="42"/>
        <v>6339.1187993093845</v>
      </c>
      <c r="R13" s="6">
        <f t="shared" si="42"/>
        <v>7025.2607701167663</v>
      </c>
      <c r="S13" s="6">
        <f t="shared" si="42"/>
        <v>22074.638432681364</v>
      </c>
      <c r="T13" s="6">
        <f t="shared" si="42"/>
        <v>6155.7384424659185</v>
      </c>
      <c r="U13" s="6">
        <f t="shared" si="42"/>
        <v>10965.177938546743</v>
      </c>
      <c r="V13" s="6">
        <f t="shared" si="42"/>
        <v>28320.118348726821</v>
      </c>
      <c r="W13" s="6">
        <f t="shared" si="42"/>
        <v>5113.1330920727887</v>
      </c>
      <c r="X13" s="6">
        <f t="shared" si="42"/>
        <v>21062.844378037527</v>
      </c>
      <c r="Y13" s="6">
        <f t="shared" si="42"/>
        <v>72068.735463807563</v>
      </c>
      <c r="AA13" s="6">
        <f t="shared" si="3"/>
        <v>11999.255668054946</v>
      </c>
      <c r="AB13" s="6">
        <f t="shared" ref="AB13:AK13" si="43">D13-D12</f>
        <v>492.20819381409456</v>
      </c>
      <c r="AC13" s="6">
        <f t="shared" si="43"/>
        <v>474.29874735019803</v>
      </c>
      <c r="AD13" s="6">
        <f t="shared" si="43"/>
        <v>529.35328279912119</v>
      </c>
      <c r="AE13" s="6">
        <f t="shared" si="43"/>
        <v>454.55659846318667</v>
      </c>
      <c r="AF13" s="6">
        <f t="shared" si="43"/>
        <v>309.05781178726193</v>
      </c>
      <c r="AG13" s="6">
        <f t="shared" si="43"/>
        <v>226.64806611984363</v>
      </c>
      <c r="AH13" s="6">
        <f t="shared" si="43"/>
        <v>6853.6110995191375</v>
      </c>
      <c r="AI13" s="6">
        <f t="shared" si="43"/>
        <v>261.19102698090774</v>
      </c>
      <c r="AJ13" s="6">
        <f t="shared" si="43"/>
        <v>1149.1082857563524</v>
      </c>
      <c r="AK13" s="6">
        <f t="shared" si="43"/>
        <v>1249.2225554648321</v>
      </c>
      <c r="AM13" s="7">
        <v>2006</v>
      </c>
      <c r="AN13" s="6">
        <f t="shared" ref="AN13:AX13" si="44">AN12+AA13</f>
        <v>42340.595032605372</v>
      </c>
      <c r="AO13" s="6">
        <f t="shared" si="44"/>
        <v>-2029.317112418692</v>
      </c>
      <c r="AP13" s="6">
        <f t="shared" si="44"/>
        <v>-114.08754482770746</v>
      </c>
      <c r="AQ13" s="6">
        <f t="shared" si="44"/>
        <v>3347.6624734909074</v>
      </c>
      <c r="AR13" s="6">
        <f t="shared" si="44"/>
        <v>5132.0099005763986</v>
      </c>
      <c r="AS13" s="6">
        <f t="shared" si="44"/>
        <v>1894.914681027868</v>
      </c>
      <c r="AT13" s="6">
        <f t="shared" si="44"/>
        <v>771.51012457489014</v>
      </c>
      <c r="AU13" s="6">
        <f t="shared" si="44"/>
        <v>15636.647854239465</v>
      </c>
      <c r="AV13" s="6">
        <f t="shared" si="44"/>
        <v>2440.9216851587362</v>
      </c>
      <c r="AW13" s="6">
        <f t="shared" si="44"/>
        <v>7045.665291805406</v>
      </c>
      <c r="AX13" s="6">
        <f t="shared" si="44"/>
        <v>8214.6676789780977</v>
      </c>
      <c r="AZ13" s="6">
        <f t="shared" ref="AZ13:BJ13" si="45">(AN$28-0)/25*(ROW(AZ13)-3)</f>
        <v>38916.399809562696</v>
      </c>
      <c r="BA13" s="6">
        <f t="shared" si="45"/>
        <v>-2821.3388564341194</v>
      </c>
      <c r="BB13" s="6">
        <f t="shared" si="45"/>
        <v>459.50854989314973</v>
      </c>
      <c r="BC13" s="6">
        <f t="shared" si="45"/>
        <v>2357.7604903286683</v>
      </c>
      <c r="BD13" s="6">
        <f t="shared" si="45"/>
        <v>6438.8660177333177</v>
      </c>
      <c r="BE13" s="6">
        <f t="shared" si="45"/>
        <v>910.72600671313558</v>
      </c>
      <c r="BF13" s="6">
        <f t="shared" si="45"/>
        <v>448.46858420766659</v>
      </c>
      <c r="BG13" s="6">
        <f t="shared" si="45"/>
        <v>12966.183056372683</v>
      </c>
      <c r="BH13" s="6">
        <f t="shared" si="45"/>
        <v>1164.0488671977776</v>
      </c>
      <c r="BI13" s="6">
        <f t="shared" si="45"/>
        <v>4489.608018367222</v>
      </c>
      <c r="BJ13" s="6">
        <f t="shared" si="45"/>
        <v>12502.56907518319</v>
      </c>
    </row>
    <row r="14" spans="1:62">
      <c r="A14" s="7">
        <v>2007</v>
      </c>
      <c r="B14" s="11">
        <f>'AMECO Output Gap'!B44/100</f>
        <v>1.8000000000000002E-2</v>
      </c>
      <c r="C14" s="7">
        <f>overheidsuitgaven_nominaal!C14/Inflatie!$D46</f>
        <v>201414.80006749486</v>
      </c>
      <c r="D14" s="7">
        <f>overheidsuitgaven_nominaal!E14/Inflatie!$D46</f>
        <v>25868.337001757835</v>
      </c>
      <c r="E14" s="7">
        <f>overheidsuitgaven_nominaal!J14/Inflatie!$D46</f>
        <v>6002.7280213479999</v>
      </c>
      <c r="F14" s="7">
        <f>overheidsuitgaven_nominaal!K14/Inflatie!$D46</f>
        <v>8561.8298646920703</v>
      </c>
      <c r="G14" s="7">
        <f>overheidsuitgaven_nominaal!L14/Inflatie!$D46</f>
        <v>21046.49848835366</v>
      </c>
      <c r="H14" s="7">
        <f>overheidsuitgaven_nominaal!M14/Inflatie!$D46</f>
        <v>7367.9886653707963</v>
      </c>
      <c r="I14" s="7">
        <f>overheidsuitgaven_nominaal!N14/Inflatie!$D46</f>
        <v>2183.5027933980668</v>
      </c>
      <c r="J14" s="7">
        <f>overheidsuitgaven_nominaal!O14/Inflatie!$D46</f>
        <v>31690.503208020233</v>
      </c>
      <c r="K14" s="7">
        <f>overheidsuitgaven_nominaal!P14/Inflatie!$D46</f>
        <v>6242.7152439301317</v>
      </c>
      <c r="L14" s="7">
        <f>overheidsuitgaven_nominaal!Q14/Inflatie!$D46</f>
        <v>24250.89930797413</v>
      </c>
      <c r="M14" s="7">
        <f>overheidsuitgaven_nominaal!R14/Inflatie!$D46</f>
        <v>68199.797472649938</v>
      </c>
      <c r="N14" s="7"/>
      <c r="O14" s="6">
        <f t="shared" si="1"/>
        <v>196596.76242593856</v>
      </c>
      <c r="P14" s="6">
        <f t="shared" ref="P14:Y14" si="46">(D$28-D$2)/26*(ROW(P14)-2) + D$2</f>
        <v>25208.694014930734</v>
      </c>
      <c r="Q14" s="6">
        <f t="shared" si="46"/>
        <v>6383.4295412005222</v>
      </c>
      <c r="R14" s="6">
        <f t="shared" si="46"/>
        <v>7258.9238540584402</v>
      </c>
      <c r="S14" s="6">
        <f t="shared" si="46"/>
        <v>22714.951355700618</v>
      </c>
      <c r="T14" s="6">
        <f t="shared" si="46"/>
        <v>6246.0812645707856</v>
      </c>
      <c r="U14" s="6">
        <f t="shared" si="46"/>
        <v>10394.349544319255</v>
      </c>
      <c r="V14" s="6">
        <f t="shared" si="46"/>
        <v>29553.318265364069</v>
      </c>
      <c r="W14" s="6">
        <f t="shared" si="46"/>
        <v>5226.4252915932475</v>
      </c>
      <c r="X14" s="6">
        <f t="shared" si="46"/>
        <v>21503.386127844835</v>
      </c>
      <c r="Y14" s="6">
        <f t="shared" si="46"/>
        <v>73238.967108043696</v>
      </c>
      <c r="AA14" s="6">
        <f t="shared" si="3"/>
        <v>5285.4823994698818</v>
      </c>
      <c r="AB14" s="6">
        <f t="shared" ref="AB14:AK14" si="47">D14-D13</f>
        <v>-184.64921651148325</v>
      </c>
      <c r="AC14" s="6">
        <f t="shared" si="47"/>
        <v>261.80701323213998</v>
      </c>
      <c r="AD14" s="6">
        <f t="shared" si="47"/>
        <v>578.36158778095341</v>
      </c>
      <c r="AE14" s="6">
        <f t="shared" si="47"/>
        <v>332.3213541403602</v>
      </c>
      <c r="AF14" s="6">
        <f t="shared" si="47"/>
        <v>239.00822708683791</v>
      </c>
      <c r="AG14" s="6">
        <f t="shared" si="47"/>
        <v>130.41210420792595</v>
      </c>
      <c r="AH14" s="6">
        <f t="shared" si="47"/>
        <v>1651.1958964269288</v>
      </c>
      <c r="AI14" s="6">
        <f t="shared" si="47"/>
        <v>-100.60035811383295</v>
      </c>
      <c r="AJ14" s="6">
        <f t="shared" si="47"/>
        <v>758.28343693967327</v>
      </c>
      <c r="AK14" s="6">
        <f t="shared" si="47"/>
        <v>1619.3423542803939</v>
      </c>
      <c r="AM14" s="7">
        <v>2007</v>
      </c>
      <c r="AN14" s="6">
        <f t="shared" ref="AN14:AX14" si="48">AN13+AA14</f>
        <v>47626.077432075253</v>
      </c>
      <c r="AO14" s="6">
        <f t="shared" si="48"/>
        <v>-2213.9663289301752</v>
      </c>
      <c r="AP14" s="6">
        <f t="shared" si="48"/>
        <v>147.71946840443252</v>
      </c>
      <c r="AQ14" s="6">
        <f t="shared" si="48"/>
        <v>3926.0240612718608</v>
      </c>
      <c r="AR14" s="6">
        <f t="shared" si="48"/>
        <v>5464.3312547167588</v>
      </c>
      <c r="AS14" s="6">
        <f t="shared" si="48"/>
        <v>2133.9229081147059</v>
      </c>
      <c r="AT14" s="6">
        <f t="shared" si="48"/>
        <v>901.92222878281609</v>
      </c>
      <c r="AU14" s="6">
        <f t="shared" si="48"/>
        <v>17287.843750666394</v>
      </c>
      <c r="AV14" s="6">
        <f t="shared" si="48"/>
        <v>2340.3213270449032</v>
      </c>
      <c r="AW14" s="6">
        <f t="shared" si="48"/>
        <v>7803.9487287450793</v>
      </c>
      <c r="AX14" s="6">
        <f t="shared" si="48"/>
        <v>9834.0100332584916</v>
      </c>
      <c r="AZ14" s="6">
        <f t="shared" ref="AZ14:BJ14" si="49">(AN$28-0)/25*(ROW(AZ14)-3)</f>
        <v>42808.039790518967</v>
      </c>
      <c r="BA14" s="6">
        <f t="shared" si="49"/>
        <v>-3103.4727420775312</v>
      </c>
      <c r="BB14" s="6">
        <f t="shared" si="49"/>
        <v>505.45940488246475</v>
      </c>
      <c r="BC14" s="6">
        <f t="shared" si="49"/>
        <v>2593.5365393615348</v>
      </c>
      <c r="BD14" s="6">
        <f t="shared" si="49"/>
        <v>7082.7526195066494</v>
      </c>
      <c r="BE14" s="6">
        <f t="shared" si="49"/>
        <v>1001.798607384449</v>
      </c>
      <c r="BF14" s="6">
        <f t="shared" si="49"/>
        <v>493.31544262843323</v>
      </c>
      <c r="BG14" s="6">
        <f t="shared" si="49"/>
        <v>14262.801362009952</v>
      </c>
      <c r="BH14" s="6">
        <f t="shared" si="49"/>
        <v>1280.4537539175553</v>
      </c>
      <c r="BI14" s="6">
        <f t="shared" si="49"/>
        <v>4938.5688202039446</v>
      </c>
      <c r="BJ14" s="6">
        <f t="shared" si="49"/>
        <v>13752.825982701508</v>
      </c>
    </row>
    <row r="15" spans="1:62">
      <c r="A15" s="7">
        <v>2008</v>
      </c>
      <c r="B15" s="11">
        <f>'AMECO Output Gap'!B45/100</f>
        <v>2.2000000000000002E-2</v>
      </c>
      <c r="C15" s="7">
        <f>overheidsuitgaven_nominaal!C15/Inflatie!$D47</f>
        <v>209681.87496112325</v>
      </c>
      <c r="D15" s="7">
        <f>overheidsuitgaven_nominaal!E15/Inflatie!$D47</f>
        <v>27395.801664626968</v>
      </c>
      <c r="E15" s="7">
        <f>overheidsuitgaven_nominaal!J15/Inflatie!$D47</f>
        <v>6027.8218302088071</v>
      </c>
      <c r="F15" s="7">
        <f>overheidsuitgaven_nominaal!K15/Inflatie!$D47</f>
        <v>8842.6938597497992</v>
      </c>
      <c r="G15" s="7">
        <f>overheidsuitgaven_nominaal!L15/Inflatie!$D47</f>
        <v>22168.608160617056</v>
      </c>
      <c r="H15" s="7">
        <f>overheidsuitgaven_nominaal!M15/Inflatie!$D47</f>
        <v>7600.7508509533764</v>
      </c>
      <c r="I15" s="7">
        <f>overheidsuitgaven_nominaal!N15/Inflatie!$D47</f>
        <v>2624.0332478771952</v>
      </c>
      <c r="J15" s="7">
        <f>overheidsuitgaven_nominaal!O15/Inflatie!$D47</f>
        <v>31604.691357102722</v>
      </c>
      <c r="K15" s="7">
        <f>overheidsuitgaven_nominaal!P15/Inflatie!$D47</f>
        <v>6882.869027741518</v>
      </c>
      <c r="L15" s="7">
        <f>overheidsuitgaven_nominaal!Q15/Inflatie!$D47</f>
        <v>25269.738362653741</v>
      </c>
      <c r="M15" s="7">
        <f>overheidsuitgaven_nominaal!R15/Inflatie!$D47</f>
        <v>71264.866599592075</v>
      </c>
      <c r="N15" s="7"/>
      <c r="O15" s="6">
        <f t="shared" si="1"/>
        <v>200488.40240689483</v>
      </c>
      <c r="P15" s="6">
        <f t="shared" ref="P15:Y15" si="50">(D$28-D$2)/26*(ROW(P15)-2) + D$2</f>
        <v>24910.141313121589</v>
      </c>
      <c r="Q15" s="6">
        <f t="shared" si="50"/>
        <v>6427.740283091659</v>
      </c>
      <c r="R15" s="6">
        <f t="shared" si="50"/>
        <v>7492.586938000115</v>
      </c>
      <c r="S15" s="6">
        <f t="shared" si="50"/>
        <v>23355.264278719871</v>
      </c>
      <c r="T15" s="6">
        <f t="shared" si="50"/>
        <v>6336.4240866756536</v>
      </c>
      <c r="U15" s="6">
        <f t="shared" si="50"/>
        <v>9823.5211500917667</v>
      </c>
      <c r="V15" s="6">
        <f t="shared" si="50"/>
        <v>30786.518182001317</v>
      </c>
      <c r="W15" s="6">
        <f t="shared" si="50"/>
        <v>5339.7174911137063</v>
      </c>
      <c r="X15" s="6">
        <f t="shared" si="50"/>
        <v>21943.927877652139</v>
      </c>
      <c r="Y15" s="6">
        <f t="shared" si="50"/>
        <v>74409.198752279815</v>
      </c>
      <c r="AA15" s="6">
        <f t="shared" si="3"/>
        <v>8267.0748936283926</v>
      </c>
      <c r="AB15" s="6">
        <f t="shared" ref="AB15:AK15" si="51">D15-D14</f>
        <v>1527.4646628691335</v>
      </c>
      <c r="AC15" s="6">
        <f t="shared" si="51"/>
        <v>25.093808860807258</v>
      </c>
      <c r="AD15" s="6">
        <f t="shared" si="51"/>
        <v>280.86399505772897</v>
      </c>
      <c r="AE15" s="6">
        <f t="shared" si="51"/>
        <v>1122.1096722633956</v>
      </c>
      <c r="AF15" s="6">
        <f t="shared" si="51"/>
        <v>232.76218558258006</v>
      </c>
      <c r="AG15" s="6">
        <f t="shared" si="51"/>
        <v>440.53045447912837</v>
      </c>
      <c r="AH15" s="6">
        <f t="shared" si="51"/>
        <v>-85.811850917511038</v>
      </c>
      <c r="AI15" s="6">
        <f t="shared" si="51"/>
        <v>640.15378381138635</v>
      </c>
      <c r="AJ15" s="6">
        <f t="shared" si="51"/>
        <v>1018.8390546796109</v>
      </c>
      <c r="AK15" s="6">
        <f t="shared" si="51"/>
        <v>3065.0691269421368</v>
      </c>
      <c r="AM15" s="7">
        <v>2008</v>
      </c>
      <c r="AN15" s="6">
        <f t="shared" ref="AN15:AX15" si="52">AN14+AA15</f>
        <v>55893.152325703646</v>
      </c>
      <c r="AO15" s="6">
        <f t="shared" si="52"/>
        <v>-686.50166606104176</v>
      </c>
      <c r="AP15" s="6">
        <f t="shared" si="52"/>
        <v>172.81327726523978</v>
      </c>
      <c r="AQ15" s="6">
        <f t="shared" si="52"/>
        <v>4206.8880563295897</v>
      </c>
      <c r="AR15" s="6">
        <f t="shared" si="52"/>
        <v>6586.4409269801545</v>
      </c>
      <c r="AS15" s="6">
        <f t="shared" si="52"/>
        <v>2366.685093697286</v>
      </c>
      <c r="AT15" s="6">
        <f t="shared" si="52"/>
        <v>1342.4526832619445</v>
      </c>
      <c r="AU15" s="6">
        <f t="shared" si="52"/>
        <v>17202.031899748883</v>
      </c>
      <c r="AV15" s="6">
        <f t="shared" si="52"/>
        <v>2980.4751108562896</v>
      </c>
      <c r="AW15" s="6">
        <f t="shared" si="52"/>
        <v>8822.7877834246901</v>
      </c>
      <c r="AX15" s="6">
        <f t="shared" si="52"/>
        <v>12899.079160200628</v>
      </c>
      <c r="AZ15" s="6">
        <f t="shared" ref="AZ15:BJ15" si="53">(AN$28-0)/25*(ROW(AZ15)-3)</f>
        <v>46699.679771475232</v>
      </c>
      <c r="BA15" s="6">
        <f t="shared" si="53"/>
        <v>-3385.6066277209429</v>
      </c>
      <c r="BB15" s="6">
        <f t="shared" si="53"/>
        <v>551.41025987177977</v>
      </c>
      <c r="BC15" s="6">
        <f t="shared" si="53"/>
        <v>2829.3125883944017</v>
      </c>
      <c r="BD15" s="6">
        <f t="shared" si="53"/>
        <v>7726.6392212799819</v>
      </c>
      <c r="BE15" s="6">
        <f t="shared" si="53"/>
        <v>1092.8712080557625</v>
      </c>
      <c r="BF15" s="6">
        <f t="shared" si="53"/>
        <v>538.16230104919987</v>
      </c>
      <c r="BG15" s="6">
        <f t="shared" si="53"/>
        <v>15559.41966764722</v>
      </c>
      <c r="BH15" s="6">
        <f t="shared" si="53"/>
        <v>1396.8586406373329</v>
      </c>
      <c r="BI15" s="6">
        <f t="shared" si="53"/>
        <v>5387.5296220406672</v>
      </c>
      <c r="BJ15" s="6">
        <f t="shared" si="53"/>
        <v>15003.082890219826</v>
      </c>
    </row>
    <row r="16" spans="1:62">
      <c r="A16" s="7">
        <v>2009</v>
      </c>
      <c r="B16" s="11">
        <f>'AMECO Output Gap'!B46/100</f>
        <v>-2.6000000000000002E-2</v>
      </c>
      <c r="C16" s="7">
        <f>overheidsuitgaven_nominaal!C16/Inflatie!$D48</f>
        <v>221096.93602083568</v>
      </c>
      <c r="D16" s="7">
        <f>overheidsuitgaven_nominaal!E16/Inflatie!$D48</f>
        <v>25388.626939941649</v>
      </c>
      <c r="E16" s="7">
        <f>overheidsuitgaven_nominaal!J16/Inflatie!$D48</f>
        <v>6301.3502261309022</v>
      </c>
      <c r="F16" s="7">
        <f>overheidsuitgaven_nominaal!K16/Inflatie!$D48</f>
        <v>9280.2509309919405</v>
      </c>
      <c r="G16" s="7">
        <f>overheidsuitgaven_nominaal!L16/Inflatie!$D48</f>
        <v>25388.626939941649</v>
      </c>
      <c r="H16" s="7">
        <f>overheidsuitgaven_nominaal!M16/Inflatie!$D48</f>
        <v>8033.8706013539022</v>
      </c>
      <c r="I16" s="7">
        <f>overheidsuitgaven_nominaal!N16/Inflatie!$D48</f>
        <v>3407.4132070483902</v>
      </c>
      <c r="J16" s="7">
        <f>overheidsuitgaven_nominaal!O16/Inflatie!$D48</f>
        <v>34229.28314886208</v>
      </c>
      <c r="K16" s="7">
        <f>overheidsuitgaven_nominaal!P16/Inflatie!$D48</f>
        <v>7213.7863299263836</v>
      </c>
      <c r="L16" s="7">
        <f>overheidsuitgaven_nominaal!Q16/Inflatie!$D48</f>
        <v>26044.694357083663</v>
      </c>
      <c r="M16" s="7">
        <f>overheidsuitgaven_nominaal!R16/Inflatie!$D48</f>
        <v>75809.033339555128</v>
      </c>
      <c r="N16" s="7"/>
      <c r="O16" s="6">
        <f t="shared" si="1"/>
        <v>204380.04238785111</v>
      </c>
      <c r="P16" s="6">
        <f t="shared" ref="P16:Y16" si="54">(D$28-D$2)/26*(ROW(P16)-2) + D$2</f>
        <v>24611.588611312443</v>
      </c>
      <c r="Q16" s="6">
        <f t="shared" si="54"/>
        <v>6472.0510249827958</v>
      </c>
      <c r="R16" s="6">
        <f t="shared" si="54"/>
        <v>7726.2500219417889</v>
      </c>
      <c r="S16" s="6">
        <f t="shared" si="54"/>
        <v>23995.577201739128</v>
      </c>
      <c r="T16" s="6">
        <f t="shared" si="54"/>
        <v>6426.7669087805207</v>
      </c>
      <c r="U16" s="6">
        <f t="shared" si="54"/>
        <v>9252.6927558642783</v>
      </c>
      <c r="V16" s="6">
        <f t="shared" si="54"/>
        <v>32019.718098638565</v>
      </c>
      <c r="W16" s="6">
        <f t="shared" si="54"/>
        <v>5453.009690634166</v>
      </c>
      <c r="X16" s="6">
        <f t="shared" si="54"/>
        <v>22384.469627459446</v>
      </c>
      <c r="Y16" s="6">
        <f t="shared" si="54"/>
        <v>75579.430396515934</v>
      </c>
      <c r="AA16" s="6">
        <f t="shared" si="3"/>
        <v>11415.061059712432</v>
      </c>
      <c r="AB16" s="6">
        <f t="shared" ref="AB16:AK16" si="55">D16-D15</f>
        <v>-2007.1747246853192</v>
      </c>
      <c r="AC16" s="6">
        <f t="shared" si="55"/>
        <v>273.52839592209511</v>
      </c>
      <c r="AD16" s="6">
        <f t="shared" si="55"/>
        <v>437.55707124214132</v>
      </c>
      <c r="AE16" s="6">
        <f t="shared" si="55"/>
        <v>3220.0187793245932</v>
      </c>
      <c r="AF16" s="6">
        <f t="shared" si="55"/>
        <v>433.11975040052585</v>
      </c>
      <c r="AG16" s="6">
        <f t="shared" si="55"/>
        <v>783.37995917119497</v>
      </c>
      <c r="AH16" s="6">
        <f t="shared" si="55"/>
        <v>2624.5917917593579</v>
      </c>
      <c r="AI16" s="6">
        <f t="shared" si="55"/>
        <v>330.91730218486555</v>
      </c>
      <c r="AJ16" s="6">
        <f t="shared" si="55"/>
        <v>774.9559944299217</v>
      </c>
      <c r="AK16" s="6">
        <f t="shared" si="55"/>
        <v>4544.1667399630533</v>
      </c>
      <c r="AM16" s="7">
        <v>2009</v>
      </c>
      <c r="AN16" s="6">
        <f t="shared" ref="AN16:AX16" si="56">AN15+AA16</f>
        <v>67308.213385416078</v>
      </c>
      <c r="AO16" s="6">
        <f t="shared" si="56"/>
        <v>-2693.676390746361</v>
      </c>
      <c r="AP16" s="6">
        <f t="shared" si="56"/>
        <v>446.34167318733489</v>
      </c>
      <c r="AQ16" s="6">
        <f t="shared" si="56"/>
        <v>4644.4451275717311</v>
      </c>
      <c r="AR16" s="6">
        <f t="shared" si="56"/>
        <v>9806.4597063047477</v>
      </c>
      <c r="AS16" s="6">
        <f t="shared" si="56"/>
        <v>2799.8048440978118</v>
      </c>
      <c r="AT16" s="6">
        <f t="shared" si="56"/>
        <v>2125.8326424331394</v>
      </c>
      <c r="AU16" s="6">
        <f t="shared" si="56"/>
        <v>19826.623691508241</v>
      </c>
      <c r="AV16" s="6">
        <f t="shared" si="56"/>
        <v>3311.3924130411551</v>
      </c>
      <c r="AW16" s="6">
        <f t="shared" si="56"/>
        <v>9597.7437778546118</v>
      </c>
      <c r="AX16" s="6">
        <f t="shared" si="56"/>
        <v>17443.245900163682</v>
      </c>
      <c r="AZ16" s="6">
        <f t="shared" ref="AZ16:BJ16" si="57">(AN$28-0)/25*(ROW(AZ16)-3)</f>
        <v>50591.319752431504</v>
      </c>
      <c r="BA16" s="6">
        <f t="shared" si="57"/>
        <v>-3667.7405133643551</v>
      </c>
      <c r="BB16" s="6">
        <f t="shared" si="57"/>
        <v>597.36111486109473</v>
      </c>
      <c r="BC16" s="6">
        <f t="shared" si="57"/>
        <v>3065.0886374272686</v>
      </c>
      <c r="BD16" s="6">
        <f t="shared" si="57"/>
        <v>8370.5258230533127</v>
      </c>
      <c r="BE16" s="6">
        <f t="shared" si="57"/>
        <v>1183.9438087270762</v>
      </c>
      <c r="BF16" s="6">
        <f t="shared" si="57"/>
        <v>583.00915946996656</v>
      </c>
      <c r="BG16" s="6">
        <f t="shared" si="57"/>
        <v>16856.037973284489</v>
      </c>
      <c r="BH16" s="6">
        <f t="shared" si="57"/>
        <v>1513.2635273571107</v>
      </c>
      <c r="BI16" s="6">
        <f t="shared" si="57"/>
        <v>5836.4904238773888</v>
      </c>
      <c r="BJ16" s="6">
        <f t="shared" si="57"/>
        <v>16253.339797738146</v>
      </c>
    </row>
    <row r="17" spans="1:62">
      <c r="A17" s="7">
        <v>2010</v>
      </c>
      <c r="B17" s="11">
        <f>'AMECO Output Gap'!B47/100</f>
        <v>-1.9E-2</v>
      </c>
      <c r="C17" s="7">
        <f>overheidsuitgaven_nominaal!C17/Inflatie!$D49</f>
        <v>224989.89076782548</v>
      </c>
      <c r="D17" s="7">
        <f>overheidsuitgaven_nominaal!E17/Inflatie!$D49</f>
        <v>26502.326826164775</v>
      </c>
      <c r="E17" s="7">
        <f>overheidsuitgaven_nominaal!J17/Inflatie!$D49</f>
        <v>5938.2867641707098</v>
      </c>
      <c r="F17" s="7">
        <f>overheidsuitgaven_nominaal!K17/Inflatie!$D49</f>
        <v>9083.5471915631206</v>
      </c>
      <c r="G17" s="7">
        <f>overheidsuitgaven_nominaal!L17/Inflatie!$D49</f>
        <v>24737.502492486179</v>
      </c>
      <c r="H17" s="7">
        <f>overheidsuitgaven_nominaal!M17/Inflatie!$D49</f>
        <v>7618.3410677430038</v>
      </c>
      <c r="I17" s="7">
        <f>overheidsuitgaven_nominaal!N17/Inflatie!$D49</f>
        <v>3062.6827256509282</v>
      </c>
      <c r="J17" s="7">
        <f>overheidsuitgaven_nominaal!O17/Inflatie!$D49</f>
        <v>36227.495452497998</v>
      </c>
      <c r="K17" s="7">
        <f>overheidsuitgaven_nominaal!P17/Inflatie!$D49</f>
        <v>7091.4514840650463</v>
      </c>
      <c r="L17" s="7">
        <f>overheidsuitgaven_nominaal!Q17/Inflatie!$D49</f>
        <v>26326.940556979323</v>
      </c>
      <c r="M17" s="7">
        <f>overheidsuitgaven_nominaal!R17/Inflatie!$D49</f>
        <v>78401.316206504373</v>
      </c>
      <c r="N17" s="7"/>
      <c r="O17" s="6">
        <f t="shared" si="1"/>
        <v>208271.68236880738</v>
      </c>
      <c r="P17" s="6">
        <f t="shared" ref="P17:Y17" si="58">(D$28-D$2)/26*(ROW(P17)-2) + D$2</f>
        <v>24313.035909503302</v>
      </c>
      <c r="Q17" s="6">
        <f t="shared" si="58"/>
        <v>6516.3617668739334</v>
      </c>
      <c r="R17" s="6">
        <f t="shared" si="58"/>
        <v>7959.9131058834628</v>
      </c>
      <c r="S17" s="6">
        <f t="shared" si="58"/>
        <v>24635.890124758385</v>
      </c>
      <c r="T17" s="6">
        <f t="shared" si="58"/>
        <v>6517.1097308853878</v>
      </c>
      <c r="U17" s="6">
        <f t="shared" si="58"/>
        <v>8681.8643616367899</v>
      </c>
      <c r="V17" s="6">
        <f t="shared" si="58"/>
        <v>33252.918015275813</v>
      </c>
      <c r="W17" s="6">
        <f t="shared" si="58"/>
        <v>5566.3018901546238</v>
      </c>
      <c r="X17" s="6">
        <f t="shared" si="58"/>
        <v>22825.01137726675</v>
      </c>
      <c r="Y17" s="6">
        <f t="shared" si="58"/>
        <v>76749.662040752068</v>
      </c>
      <c r="AA17" s="6">
        <f t="shared" si="3"/>
        <v>3892.9547469897952</v>
      </c>
      <c r="AB17" s="6">
        <f t="shared" ref="AB17:AK17" si="59">D17-D16</f>
        <v>1113.6998862231267</v>
      </c>
      <c r="AC17" s="6">
        <f t="shared" si="59"/>
        <v>-363.0634619601924</v>
      </c>
      <c r="AD17" s="6">
        <f t="shared" si="59"/>
        <v>-196.70373942881997</v>
      </c>
      <c r="AE17" s="6">
        <f t="shared" si="59"/>
        <v>-651.12444745546964</v>
      </c>
      <c r="AF17" s="6">
        <f t="shared" si="59"/>
        <v>-415.5295336108984</v>
      </c>
      <c r="AG17" s="6">
        <f t="shared" si="59"/>
        <v>-344.73048139746197</v>
      </c>
      <c r="AH17" s="6">
        <f t="shared" si="59"/>
        <v>1998.2123036359189</v>
      </c>
      <c r="AI17" s="6">
        <f t="shared" si="59"/>
        <v>-122.33484586133727</v>
      </c>
      <c r="AJ17" s="6">
        <f t="shared" si="59"/>
        <v>282.24619989566054</v>
      </c>
      <c r="AK17" s="6">
        <f t="shared" si="59"/>
        <v>2592.2828669492446</v>
      </c>
      <c r="AM17" s="7">
        <v>2010</v>
      </c>
      <c r="AN17" s="6">
        <f t="shared" ref="AN17:AX17" si="60">AN16+AA17</f>
        <v>71201.168132405874</v>
      </c>
      <c r="AO17" s="6">
        <f t="shared" si="60"/>
        <v>-1579.9765045232343</v>
      </c>
      <c r="AP17" s="6">
        <f t="shared" si="60"/>
        <v>83.278211227142492</v>
      </c>
      <c r="AQ17" s="6">
        <f t="shared" si="60"/>
        <v>4447.7413881429111</v>
      </c>
      <c r="AR17" s="6">
        <f t="shared" si="60"/>
        <v>9155.335258849278</v>
      </c>
      <c r="AS17" s="6">
        <f t="shared" si="60"/>
        <v>2384.2753104869134</v>
      </c>
      <c r="AT17" s="6">
        <f t="shared" si="60"/>
        <v>1781.1021610356775</v>
      </c>
      <c r="AU17" s="6">
        <f t="shared" si="60"/>
        <v>21824.83599514416</v>
      </c>
      <c r="AV17" s="6">
        <f t="shared" si="60"/>
        <v>3189.0575671798179</v>
      </c>
      <c r="AW17" s="6">
        <f t="shared" si="60"/>
        <v>9879.9899777502724</v>
      </c>
      <c r="AX17" s="6">
        <f t="shared" si="60"/>
        <v>20035.528767112926</v>
      </c>
      <c r="AZ17" s="6">
        <f t="shared" ref="AZ17:BJ17" si="61">(AN$28-0)/25*(ROW(AZ17)-3)</f>
        <v>54482.959733387775</v>
      </c>
      <c r="BA17" s="6">
        <f t="shared" si="61"/>
        <v>-3949.8743990077669</v>
      </c>
      <c r="BB17" s="6">
        <f t="shared" si="61"/>
        <v>643.3119698504097</v>
      </c>
      <c r="BC17" s="6">
        <f t="shared" si="61"/>
        <v>3300.8646864601351</v>
      </c>
      <c r="BD17" s="6">
        <f t="shared" si="61"/>
        <v>9014.4124248266453</v>
      </c>
      <c r="BE17" s="6">
        <f t="shared" si="61"/>
        <v>1275.0164093983897</v>
      </c>
      <c r="BF17" s="6">
        <f t="shared" si="61"/>
        <v>627.85601789073326</v>
      </c>
      <c r="BG17" s="6">
        <f t="shared" si="61"/>
        <v>18152.656278921757</v>
      </c>
      <c r="BH17" s="6">
        <f t="shared" si="61"/>
        <v>1629.6684140768884</v>
      </c>
      <c r="BI17" s="6">
        <f t="shared" si="61"/>
        <v>6285.4512257141114</v>
      </c>
      <c r="BJ17" s="6">
        <f t="shared" si="61"/>
        <v>17503.596705256467</v>
      </c>
    </row>
    <row r="18" spans="1:62">
      <c r="A18" s="7">
        <v>2011</v>
      </c>
      <c r="B18" s="11">
        <f>'AMECO Output Gap'!B48/100</f>
        <v>-1.2E-2</v>
      </c>
      <c r="C18" s="7">
        <f>overheidsuitgaven_nominaal!C18/Inflatie!$D50</f>
        <v>219255.00288080503</v>
      </c>
      <c r="D18" s="7">
        <f>overheidsuitgaven_nominaal!E18/Inflatie!$D50</f>
        <v>24762.727854539036</v>
      </c>
      <c r="E18" s="7">
        <f>overheidsuitgaven_nominaal!J18/Inflatie!$D50</f>
        <v>5797.5859040917821</v>
      </c>
      <c r="F18" s="7">
        <f>overheidsuitgaven_nominaal!K18/Inflatie!$D50</f>
        <v>8835.8126562484158</v>
      </c>
      <c r="G18" s="7">
        <f>overheidsuitgaven_nominaal!L18/Inflatie!$D50</f>
        <v>22971.539806962577</v>
      </c>
      <c r="H18" s="7">
        <f>overheidsuitgaven_nominaal!M18/Inflatie!$D50</f>
        <v>7384.2710448391508</v>
      </c>
      <c r="I18" s="7">
        <f>overheidsuitgaven_nominaal!N18/Inflatie!$D50</f>
        <v>2427.57821218446</v>
      </c>
      <c r="J18" s="7">
        <f>overheidsuitgaven_nominaal!O18/Inflatie!$D50</f>
        <v>36647.492939875679</v>
      </c>
      <c r="K18" s="7">
        <f>overheidsuitgaven_nominaal!P18/Inflatie!$D50</f>
        <v>6743.5906094585098</v>
      </c>
      <c r="L18" s="7">
        <f>overheidsuitgaven_nominaal!Q18/Inflatie!$D50</f>
        <v>25609.341287006311</v>
      </c>
      <c r="M18" s="7">
        <f>overheidsuitgaven_nominaal!R18/Inflatie!$D50</f>
        <v>78075.062565599103</v>
      </c>
      <c r="N18" s="7"/>
      <c r="O18" s="6">
        <f t="shared" si="1"/>
        <v>212163.32234976365</v>
      </c>
      <c r="P18" s="6">
        <f t="shared" ref="P18:Y18" si="62">(D$28-D$2)/26*(ROW(P18)-2) + D$2</f>
        <v>24014.483207694157</v>
      </c>
      <c r="Q18" s="6">
        <f t="shared" si="62"/>
        <v>6560.6725087650702</v>
      </c>
      <c r="R18" s="6">
        <f t="shared" si="62"/>
        <v>8193.5761898251367</v>
      </c>
      <c r="S18" s="6">
        <f t="shared" si="62"/>
        <v>25276.203047777642</v>
      </c>
      <c r="T18" s="6">
        <f t="shared" si="62"/>
        <v>6607.4525529902548</v>
      </c>
      <c r="U18" s="6">
        <f t="shared" si="62"/>
        <v>8111.0359674093015</v>
      </c>
      <c r="V18" s="6">
        <f t="shared" si="62"/>
        <v>34486.117931913061</v>
      </c>
      <c r="W18" s="6">
        <f t="shared" si="62"/>
        <v>5679.5940896750835</v>
      </c>
      <c r="X18" s="6">
        <f t="shared" si="62"/>
        <v>23265.553127074054</v>
      </c>
      <c r="Y18" s="6">
        <f t="shared" si="62"/>
        <v>77919.893684988187</v>
      </c>
      <c r="AA18" s="6">
        <f t="shared" si="3"/>
        <v>-5734.8878870204499</v>
      </c>
      <c r="AB18" s="6">
        <f t="shared" ref="AB18:AK18" si="63">D18-D17</f>
        <v>-1739.5989716257391</v>
      </c>
      <c r="AC18" s="6">
        <f t="shared" si="63"/>
        <v>-140.70086007892769</v>
      </c>
      <c r="AD18" s="6">
        <f t="shared" si="63"/>
        <v>-247.73453531470477</v>
      </c>
      <c r="AE18" s="6">
        <f t="shared" si="63"/>
        <v>-1765.962685523602</v>
      </c>
      <c r="AF18" s="6">
        <f t="shared" si="63"/>
        <v>-234.07002290385299</v>
      </c>
      <c r="AG18" s="6">
        <f t="shared" si="63"/>
        <v>-635.10451346646823</v>
      </c>
      <c r="AH18" s="6">
        <f t="shared" si="63"/>
        <v>419.99748737768095</v>
      </c>
      <c r="AI18" s="6">
        <f t="shared" si="63"/>
        <v>-347.86087460653653</v>
      </c>
      <c r="AJ18" s="6">
        <f t="shared" si="63"/>
        <v>-717.59926997301227</v>
      </c>
      <c r="AK18" s="6">
        <f t="shared" si="63"/>
        <v>-326.25364090527</v>
      </c>
      <c r="AM18" s="7">
        <v>2011</v>
      </c>
      <c r="AN18" s="6">
        <f t="shared" ref="AN18:AX18" si="64">AN17+AA18</f>
        <v>65466.280245385424</v>
      </c>
      <c r="AO18" s="6">
        <f t="shared" si="64"/>
        <v>-3319.5754761489734</v>
      </c>
      <c r="AP18" s="6">
        <f t="shared" si="64"/>
        <v>-57.422648851785198</v>
      </c>
      <c r="AQ18" s="6">
        <f t="shared" si="64"/>
        <v>4200.0068528282063</v>
      </c>
      <c r="AR18" s="6">
        <f t="shared" si="64"/>
        <v>7389.3725733256761</v>
      </c>
      <c r="AS18" s="6">
        <f t="shared" si="64"/>
        <v>2150.2052875830605</v>
      </c>
      <c r="AT18" s="6">
        <f t="shared" si="64"/>
        <v>1145.9976475692092</v>
      </c>
      <c r="AU18" s="6">
        <f t="shared" si="64"/>
        <v>22244.833482521841</v>
      </c>
      <c r="AV18" s="6">
        <f t="shared" si="64"/>
        <v>2841.1966925732813</v>
      </c>
      <c r="AW18" s="6">
        <f t="shared" si="64"/>
        <v>9162.3907077772601</v>
      </c>
      <c r="AX18" s="6">
        <f t="shared" si="64"/>
        <v>19709.275126207656</v>
      </c>
      <c r="AZ18" s="6">
        <f t="shared" ref="AZ18:BJ18" si="65">(AN$28-0)/25*(ROW(AZ18)-3)</f>
        <v>58374.59971434404</v>
      </c>
      <c r="BA18" s="6">
        <f t="shared" si="65"/>
        <v>-4232.0082846511787</v>
      </c>
      <c r="BB18" s="6">
        <f t="shared" si="65"/>
        <v>689.26282483972466</v>
      </c>
      <c r="BC18" s="6">
        <f t="shared" si="65"/>
        <v>3536.640735493002</v>
      </c>
      <c r="BD18" s="6">
        <f t="shared" si="65"/>
        <v>9658.2990265999761</v>
      </c>
      <c r="BE18" s="6">
        <f t="shared" si="65"/>
        <v>1366.0890100697034</v>
      </c>
      <c r="BF18" s="6">
        <f t="shared" si="65"/>
        <v>672.70287631149984</v>
      </c>
      <c r="BG18" s="6">
        <f t="shared" si="65"/>
        <v>19449.274584559025</v>
      </c>
      <c r="BH18" s="6">
        <f t="shared" si="65"/>
        <v>1746.0733007966662</v>
      </c>
      <c r="BI18" s="6">
        <f t="shared" si="65"/>
        <v>6734.412027550833</v>
      </c>
      <c r="BJ18" s="6">
        <f t="shared" si="65"/>
        <v>18753.853612774783</v>
      </c>
    </row>
    <row r="19" spans="1:62">
      <c r="A19" s="7">
        <v>2012</v>
      </c>
      <c r="B19" s="11">
        <f>'AMECO Output Gap'!B49/100</f>
        <v>-2.6000000000000002E-2</v>
      </c>
      <c r="C19" s="7">
        <f>overheidsuitgaven_nominaal!C19/Inflatie!$D51</f>
        <v>215033.88978830515</v>
      </c>
      <c r="D19" s="7">
        <f>overheidsuitgaven_nominaal!E19/Inflatie!$D51</f>
        <v>23786.981193708321</v>
      </c>
      <c r="E19" s="7">
        <f>overheidsuitgaven_nominaal!J19/Inflatie!$D51</f>
        <v>5235.0267752972095</v>
      </c>
      <c r="F19" s="7">
        <f>overheidsuitgaven_nominaal!K19/Inflatie!$D51</f>
        <v>8788.5419402280513</v>
      </c>
      <c r="G19" s="7">
        <f>overheidsuitgaven_nominaal!L19/Inflatie!$D51</f>
        <v>21146.706820080166</v>
      </c>
      <c r="H19" s="7">
        <f>overheidsuitgaven_nominaal!M19/Inflatie!$D51</f>
        <v>7071.3130903245383</v>
      </c>
      <c r="I19" s="7">
        <f>overheidsuitgaven_nominaal!N19/Inflatie!$D51</f>
        <v>2540.1260353181242</v>
      </c>
      <c r="J19" s="7">
        <f>overheidsuitgaven_nominaal!O19/Inflatie!$D51</f>
        <v>37176.043653926659</v>
      </c>
      <c r="K19" s="7">
        <f>overheidsuitgaven_nominaal!P19/Inflatie!$D51</f>
        <v>6375.1770883652835</v>
      </c>
      <c r="L19" s="7">
        <f>overheidsuitgaven_nominaal!Q19/Inflatie!$D51</f>
        <v>25239.482268218879</v>
      </c>
      <c r="M19" s="7">
        <f>overheidsuitgaven_nominaal!R19/Inflatie!$D51</f>
        <v>77674.490922837926</v>
      </c>
      <c r="N19" s="7"/>
      <c r="O19" s="6">
        <f t="shared" si="1"/>
        <v>216054.96233071992</v>
      </c>
      <c r="P19" s="6">
        <f t="shared" ref="P19:Y19" si="66">(D$28-D$2)/26*(ROW(P19)-2) + D$2</f>
        <v>23715.930505885011</v>
      </c>
      <c r="Q19" s="6">
        <f t="shared" si="66"/>
        <v>6604.983250656207</v>
      </c>
      <c r="R19" s="6">
        <f t="shared" si="66"/>
        <v>8427.2392737668124</v>
      </c>
      <c r="S19" s="6">
        <f t="shared" si="66"/>
        <v>25916.515970796896</v>
      </c>
      <c r="T19" s="6">
        <f t="shared" si="66"/>
        <v>6697.7953750951228</v>
      </c>
      <c r="U19" s="6">
        <f t="shared" si="66"/>
        <v>7540.2075731818131</v>
      </c>
      <c r="V19" s="6">
        <f t="shared" si="66"/>
        <v>35719.317848550309</v>
      </c>
      <c r="W19" s="6">
        <f t="shared" si="66"/>
        <v>5792.8862891955423</v>
      </c>
      <c r="X19" s="6">
        <f t="shared" si="66"/>
        <v>23706.094876881361</v>
      </c>
      <c r="Y19" s="6">
        <f t="shared" si="66"/>
        <v>79090.125329224305</v>
      </c>
      <c r="AA19" s="6">
        <f t="shared" si="3"/>
        <v>-4221.1130924998724</v>
      </c>
      <c r="AB19" s="6">
        <f t="shared" ref="AB19:AK19" si="67">D19-D18</f>
        <v>-975.74666083071497</v>
      </c>
      <c r="AC19" s="6">
        <f t="shared" si="67"/>
        <v>-562.55912879457264</v>
      </c>
      <c r="AD19" s="6">
        <f t="shared" si="67"/>
        <v>-47.270716020364489</v>
      </c>
      <c r="AE19" s="6">
        <f t="shared" si="67"/>
        <v>-1824.8329868824112</v>
      </c>
      <c r="AF19" s="6">
        <f t="shared" si="67"/>
        <v>-312.95795451461254</v>
      </c>
      <c r="AG19" s="6">
        <f t="shared" si="67"/>
        <v>112.54782313366422</v>
      </c>
      <c r="AH19" s="6">
        <f t="shared" si="67"/>
        <v>528.55071405097988</v>
      </c>
      <c r="AI19" s="6">
        <f t="shared" si="67"/>
        <v>-368.41352109322634</v>
      </c>
      <c r="AJ19" s="6">
        <f t="shared" si="67"/>
        <v>-369.85901878743243</v>
      </c>
      <c r="AK19" s="6">
        <f t="shared" si="67"/>
        <v>-400.57164276117692</v>
      </c>
      <c r="AM19" s="7">
        <v>2012</v>
      </c>
      <c r="AN19" s="6">
        <f t="shared" ref="AN19:AX19" si="68">AN18+AA19</f>
        <v>61245.167152885551</v>
      </c>
      <c r="AO19" s="6">
        <f t="shared" si="68"/>
        <v>-4295.3221369796884</v>
      </c>
      <c r="AP19" s="6">
        <f t="shared" si="68"/>
        <v>-619.98177764635784</v>
      </c>
      <c r="AQ19" s="6">
        <f t="shared" si="68"/>
        <v>4152.7361368078418</v>
      </c>
      <c r="AR19" s="6">
        <f t="shared" si="68"/>
        <v>5564.5395864432649</v>
      </c>
      <c r="AS19" s="6">
        <f t="shared" si="68"/>
        <v>1837.2473330684479</v>
      </c>
      <c r="AT19" s="6">
        <f t="shared" si="68"/>
        <v>1258.5454707028734</v>
      </c>
      <c r="AU19" s="6">
        <f t="shared" si="68"/>
        <v>22773.384196572821</v>
      </c>
      <c r="AV19" s="6">
        <f t="shared" si="68"/>
        <v>2472.783171480055</v>
      </c>
      <c r="AW19" s="6">
        <f t="shared" si="68"/>
        <v>8792.5316889898277</v>
      </c>
      <c r="AX19" s="6">
        <f t="shared" si="68"/>
        <v>19308.703483446479</v>
      </c>
      <c r="AZ19" s="6">
        <f t="shared" ref="AZ19:BJ19" si="69">(AN$28-0)/25*(ROW(AZ19)-3)</f>
        <v>62266.239695300312</v>
      </c>
      <c r="BA19" s="6">
        <f t="shared" si="69"/>
        <v>-4514.1421702945909</v>
      </c>
      <c r="BB19" s="6">
        <f t="shared" si="69"/>
        <v>735.21367982903962</v>
      </c>
      <c r="BC19" s="6">
        <f t="shared" si="69"/>
        <v>3772.4167845258689</v>
      </c>
      <c r="BD19" s="6">
        <f t="shared" si="69"/>
        <v>10302.185628373309</v>
      </c>
      <c r="BE19" s="6">
        <f t="shared" si="69"/>
        <v>1457.1616107410168</v>
      </c>
      <c r="BF19" s="6">
        <f t="shared" si="69"/>
        <v>717.54973473226653</v>
      </c>
      <c r="BG19" s="6">
        <f t="shared" si="69"/>
        <v>20745.892890196294</v>
      </c>
      <c r="BH19" s="6">
        <f t="shared" si="69"/>
        <v>1862.478187516444</v>
      </c>
      <c r="BI19" s="6">
        <f t="shared" si="69"/>
        <v>7183.3728293875556</v>
      </c>
      <c r="BJ19" s="6">
        <f t="shared" si="69"/>
        <v>20004.110520293103</v>
      </c>
    </row>
    <row r="20" spans="1:62">
      <c r="A20" s="7">
        <v>2013</v>
      </c>
      <c r="B20" s="11">
        <f>'AMECO Output Gap'!B50/100</f>
        <v>-3.1E-2</v>
      </c>
      <c r="C20" s="7">
        <f>overheidsuitgaven_nominaal!C20/Inflatie!$D52</f>
        <v>213881.71343374226</v>
      </c>
      <c r="D20" s="7">
        <f>overheidsuitgaven_nominaal!E20/Inflatie!$D52</f>
        <v>23382.855730896637</v>
      </c>
      <c r="E20" s="7">
        <f>overheidsuitgaven_nominaal!J20/Inflatie!$D52</f>
        <v>5187.2026062597561</v>
      </c>
      <c r="F20" s="7">
        <f>overheidsuitgaven_nominaal!K20/Inflatie!$D52</f>
        <v>8965.4329465515802</v>
      </c>
      <c r="G20" s="7">
        <f>overheidsuitgaven_nominaal!L20/Inflatie!$D52</f>
        <v>20706.638046126343</v>
      </c>
      <c r="H20" s="7">
        <f>overheidsuitgaven_nominaal!M20/Inflatie!$D52</f>
        <v>7008.9111051927766</v>
      </c>
      <c r="I20" s="7">
        <f>overheidsuitgaven_nominaal!N20/Inflatie!$D52</f>
        <v>2557.3054032460132</v>
      </c>
      <c r="J20" s="7">
        <f>overheidsuitgaven_nominaal!O20/Inflatie!$D52</f>
        <v>36678.216695974785</v>
      </c>
      <c r="K20" s="7">
        <f>overheidsuitgaven_nominaal!P20/Inflatie!$D52</f>
        <v>6175.8337840488339</v>
      </c>
      <c r="L20" s="7">
        <f>overheidsuitgaven_nominaal!Q20/Inflatie!$D52</f>
        <v>24728.223753258557</v>
      </c>
      <c r="M20" s="7">
        <f>overheidsuitgaven_nominaal!R20/Inflatie!$D52</f>
        <v>78491.093362186977</v>
      </c>
      <c r="N20" s="7"/>
      <c r="O20" s="6">
        <f t="shared" si="1"/>
        <v>219946.60231167619</v>
      </c>
      <c r="P20" s="6">
        <f t="shared" ref="P20:Y20" si="70">(D$28-D$2)/26*(ROW(P20)-2) + D$2</f>
        <v>23417.37780407587</v>
      </c>
      <c r="Q20" s="6">
        <f t="shared" si="70"/>
        <v>6649.2939925473447</v>
      </c>
      <c r="R20" s="6">
        <f t="shared" si="70"/>
        <v>8660.9023577084845</v>
      </c>
      <c r="S20" s="6">
        <f t="shared" si="70"/>
        <v>26556.82889381615</v>
      </c>
      <c r="T20" s="6">
        <f t="shared" si="70"/>
        <v>6788.1381971999899</v>
      </c>
      <c r="U20" s="6">
        <f t="shared" si="70"/>
        <v>6969.3791789543247</v>
      </c>
      <c r="V20" s="6">
        <f t="shared" si="70"/>
        <v>36952.517765187557</v>
      </c>
      <c r="W20" s="6">
        <f t="shared" si="70"/>
        <v>5906.1784887160011</v>
      </c>
      <c r="X20" s="6">
        <f t="shared" si="70"/>
        <v>24146.636626688665</v>
      </c>
      <c r="Y20" s="6">
        <f t="shared" si="70"/>
        <v>80260.356973460439</v>
      </c>
      <c r="AA20" s="6">
        <f t="shared" si="3"/>
        <v>-1152.1763545628928</v>
      </c>
      <c r="AB20" s="6">
        <f t="shared" ref="AB20:AK20" si="71">D20-D19</f>
        <v>-404.12546281168397</v>
      </c>
      <c r="AC20" s="6">
        <f t="shared" si="71"/>
        <v>-47.82416903745343</v>
      </c>
      <c r="AD20" s="6">
        <f t="shared" si="71"/>
        <v>176.89100632352893</v>
      </c>
      <c r="AE20" s="6">
        <f t="shared" si="71"/>
        <v>-440.06877395382253</v>
      </c>
      <c r="AF20" s="6">
        <f t="shared" si="71"/>
        <v>-62.401985131761649</v>
      </c>
      <c r="AG20" s="6">
        <f t="shared" si="71"/>
        <v>17.179367927888961</v>
      </c>
      <c r="AH20" s="6">
        <f t="shared" si="71"/>
        <v>-497.82695795187465</v>
      </c>
      <c r="AI20" s="6">
        <f t="shared" si="71"/>
        <v>-199.34330431644958</v>
      </c>
      <c r="AJ20" s="6">
        <f t="shared" si="71"/>
        <v>-511.25851496032192</v>
      </c>
      <c r="AK20" s="6">
        <f t="shared" si="71"/>
        <v>816.60243934905156</v>
      </c>
      <c r="AM20" s="7">
        <v>2013</v>
      </c>
      <c r="AN20" s="6">
        <f t="shared" ref="AN20:AX20" si="72">AN19+AA20</f>
        <v>60092.990798322659</v>
      </c>
      <c r="AO20" s="6">
        <f t="shared" si="72"/>
        <v>-4699.4475997913723</v>
      </c>
      <c r="AP20" s="6">
        <f t="shared" si="72"/>
        <v>-667.80594668381127</v>
      </c>
      <c r="AQ20" s="6">
        <f t="shared" si="72"/>
        <v>4329.6271431313708</v>
      </c>
      <c r="AR20" s="6">
        <f t="shared" si="72"/>
        <v>5124.4708124894423</v>
      </c>
      <c r="AS20" s="6">
        <f t="shared" si="72"/>
        <v>1774.8453479366863</v>
      </c>
      <c r="AT20" s="6">
        <f t="shared" si="72"/>
        <v>1275.7248386307624</v>
      </c>
      <c r="AU20" s="6">
        <f t="shared" si="72"/>
        <v>22275.557238620946</v>
      </c>
      <c r="AV20" s="6">
        <f t="shared" si="72"/>
        <v>2273.4398671636054</v>
      </c>
      <c r="AW20" s="6">
        <f t="shared" si="72"/>
        <v>8281.2731740295058</v>
      </c>
      <c r="AX20" s="6">
        <f t="shared" si="72"/>
        <v>20125.305922795531</v>
      </c>
      <c r="AZ20" s="6">
        <f t="shared" ref="AZ20:BJ20" si="73">(AN$28-0)/25*(ROW(AZ20)-3)</f>
        <v>66157.879676256576</v>
      </c>
      <c r="BA20" s="6">
        <f t="shared" si="73"/>
        <v>-4796.2760559380031</v>
      </c>
      <c r="BB20" s="6">
        <f t="shared" si="73"/>
        <v>781.16453481835458</v>
      </c>
      <c r="BC20" s="6">
        <f t="shared" si="73"/>
        <v>4008.1928335587359</v>
      </c>
      <c r="BD20" s="6">
        <f t="shared" si="73"/>
        <v>10946.072230146641</v>
      </c>
      <c r="BE20" s="6">
        <f t="shared" si="73"/>
        <v>1548.2342114123303</v>
      </c>
      <c r="BF20" s="6">
        <f t="shared" si="73"/>
        <v>762.39659315303322</v>
      </c>
      <c r="BG20" s="6">
        <f t="shared" si="73"/>
        <v>22042.511195833562</v>
      </c>
      <c r="BH20" s="6">
        <f t="shared" si="73"/>
        <v>1978.8830742362218</v>
      </c>
      <c r="BI20" s="6">
        <f t="shared" si="73"/>
        <v>7632.3336312242782</v>
      </c>
      <c r="BJ20" s="6">
        <f t="shared" si="73"/>
        <v>21254.367427811423</v>
      </c>
    </row>
    <row r="21" spans="1:62">
      <c r="A21" s="7">
        <v>2014</v>
      </c>
      <c r="B21" s="11">
        <f>'AMECO Output Gap'!B51/100</f>
        <v>-2.2000000000000002E-2</v>
      </c>
      <c r="C21" s="7">
        <f>overheidsuitgaven_nominaal!C21/Inflatie!$D53</f>
        <v>212689.23145237935</v>
      </c>
      <c r="D21" s="7">
        <f>overheidsuitgaven_nominaal!E21/Inflatie!$D53</f>
        <v>23781.494186900301</v>
      </c>
      <c r="E21" s="7">
        <f>overheidsuitgaven_nominaal!J21/Inflatie!$D53</f>
        <v>5008.511187231019</v>
      </c>
      <c r="F21" s="7">
        <f>overheidsuitgaven_nominaal!K21/Inflatie!$D53</f>
        <v>8623.3257927243176</v>
      </c>
      <c r="G21" s="7">
        <f>overheidsuitgaven_nominaal!L21/Inflatie!$D53</f>
        <v>20058.784924931253</v>
      </c>
      <c r="H21" s="7">
        <f>overheidsuitgaven_nominaal!M21/Inflatie!$D53</f>
        <v>6569.2039570171937</v>
      </c>
      <c r="I21" s="7">
        <f>overheidsuitgaven_nominaal!N21/Inflatie!$D53</f>
        <v>2348.9422664593335</v>
      </c>
      <c r="J21" s="7">
        <f>overheidsuitgaven_nominaal!O21/Inflatie!$D53</f>
        <v>36748.78255021837</v>
      </c>
      <c r="K21" s="7">
        <f>overheidsuitgaven_nominaal!P21/Inflatie!$D53</f>
        <v>5801.5712736833511</v>
      </c>
      <c r="L21" s="7">
        <f>overheidsuitgaven_nominaal!Q21/Inflatie!$D53</f>
        <v>25090.66183394683</v>
      </c>
      <c r="M21" s="7">
        <f>overheidsuitgaven_nominaal!R21/Inflatie!$D53</f>
        <v>78657.95347926738</v>
      </c>
      <c r="N21" s="7"/>
      <c r="O21" s="6">
        <f t="shared" si="1"/>
        <v>223838.24229263247</v>
      </c>
      <c r="P21" s="6">
        <f t="shared" ref="P21:Y21" si="74">(D$28-D$2)/26*(ROW(P21)-2) + D$2</f>
        <v>23118.825102266725</v>
      </c>
      <c r="Q21" s="6">
        <f t="shared" si="74"/>
        <v>6693.6047344384815</v>
      </c>
      <c r="R21" s="6">
        <f t="shared" si="74"/>
        <v>8894.5654416501602</v>
      </c>
      <c r="S21" s="6">
        <f t="shared" si="74"/>
        <v>27197.141816835407</v>
      </c>
      <c r="T21" s="6">
        <f t="shared" si="74"/>
        <v>6878.4810193048579</v>
      </c>
      <c r="U21" s="6">
        <f t="shared" si="74"/>
        <v>6398.5507847268364</v>
      </c>
      <c r="V21" s="6">
        <f t="shared" si="74"/>
        <v>38185.717681824804</v>
      </c>
      <c r="W21" s="6">
        <f t="shared" si="74"/>
        <v>6019.4706882364599</v>
      </c>
      <c r="X21" s="6">
        <f t="shared" si="74"/>
        <v>24587.178376495969</v>
      </c>
      <c r="Y21" s="6">
        <f t="shared" si="74"/>
        <v>81430.588617696558</v>
      </c>
      <c r="AA21" s="6">
        <f t="shared" si="3"/>
        <v>-1192.4819813629147</v>
      </c>
      <c r="AB21" s="6">
        <f t="shared" ref="AB21:AK21" si="75">D21-D20</f>
        <v>398.63845600366403</v>
      </c>
      <c r="AC21" s="6">
        <f t="shared" si="75"/>
        <v>-178.69141902873707</v>
      </c>
      <c r="AD21" s="6">
        <f t="shared" si="75"/>
        <v>-342.10715382726266</v>
      </c>
      <c r="AE21" s="6">
        <f t="shared" si="75"/>
        <v>-647.85312119509035</v>
      </c>
      <c r="AF21" s="6">
        <f t="shared" si="75"/>
        <v>-439.70714817558292</v>
      </c>
      <c r="AG21" s="6">
        <f t="shared" si="75"/>
        <v>-208.36313678667966</v>
      </c>
      <c r="AH21" s="6">
        <f t="shared" si="75"/>
        <v>70.565854243584909</v>
      </c>
      <c r="AI21" s="6">
        <f t="shared" si="75"/>
        <v>-374.26251036548274</v>
      </c>
      <c r="AJ21" s="6">
        <f t="shared" si="75"/>
        <v>362.43808068827275</v>
      </c>
      <c r="AK21" s="6">
        <f t="shared" si="75"/>
        <v>166.86011708040314</v>
      </c>
      <c r="AM21" s="7">
        <v>2014</v>
      </c>
      <c r="AN21" s="6">
        <f t="shared" ref="AN21:AX21" si="76">AN20+AA21</f>
        <v>58900.508816959744</v>
      </c>
      <c r="AO21" s="6">
        <f t="shared" si="76"/>
        <v>-4300.8091437877083</v>
      </c>
      <c r="AP21" s="6">
        <f t="shared" si="76"/>
        <v>-846.49736571254834</v>
      </c>
      <c r="AQ21" s="6">
        <f t="shared" si="76"/>
        <v>3987.5199893041081</v>
      </c>
      <c r="AR21" s="6">
        <f t="shared" si="76"/>
        <v>4476.617691294352</v>
      </c>
      <c r="AS21" s="6">
        <f t="shared" si="76"/>
        <v>1335.1381997611034</v>
      </c>
      <c r="AT21" s="6">
        <f t="shared" si="76"/>
        <v>1067.3617018440827</v>
      </c>
      <c r="AU21" s="6">
        <f t="shared" si="76"/>
        <v>22346.123092864531</v>
      </c>
      <c r="AV21" s="6">
        <f t="shared" si="76"/>
        <v>1899.1773567981227</v>
      </c>
      <c r="AW21" s="6">
        <f t="shared" si="76"/>
        <v>8643.7112547177785</v>
      </c>
      <c r="AX21" s="6">
        <f t="shared" si="76"/>
        <v>20292.166039875934</v>
      </c>
      <c r="AZ21" s="6">
        <f t="shared" ref="AZ21:BJ21" si="77">(AN$28-0)/25*(ROW(AZ21)-3)</f>
        <v>70049.519657212848</v>
      </c>
      <c r="BA21" s="6">
        <f t="shared" si="77"/>
        <v>-5078.4099415814144</v>
      </c>
      <c r="BB21" s="6">
        <f t="shared" si="77"/>
        <v>827.11538980766954</v>
      </c>
      <c r="BC21" s="6">
        <f t="shared" si="77"/>
        <v>4243.9688825916028</v>
      </c>
      <c r="BD21" s="6">
        <f t="shared" si="77"/>
        <v>11589.958831919972</v>
      </c>
      <c r="BE21" s="6">
        <f t="shared" si="77"/>
        <v>1639.306812083644</v>
      </c>
      <c r="BF21" s="6">
        <f t="shared" si="77"/>
        <v>807.2434515737998</v>
      </c>
      <c r="BG21" s="6">
        <f t="shared" si="77"/>
        <v>23339.12950147083</v>
      </c>
      <c r="BH21" s="6">
        <f t="shared" si="77"/>
        <v>2095.2879609559996</v>
      </c>
      <c r="BI21" s="6">
        <f t="shared" si="77"/>
        <v>8081.2944330609998</v>
      </c>
      <c r="BJ21" s="6">
        <f t="shared" si="77"/>
        <v>22504.62433532974</v>
      </c>
    </row>
    <row r="22" spans="1:62">
      <c r="A22" s="7">
        <v>2015</v>
      </c>
      <c r="B22" s="11">
        <f>'AMECO Output Gap'!B52/100</f>
        <v>-1.7000000000000001E-2</v>
      </c>
      <c r="C22" s="7">
        <f>overheidsuitgaven_nominaal!C22/Inflatie!$D54</f>
        <v>211614.66467831636</v>
      </c>
      <c r="D22" s="7">
        <f>overheidsuitgaven_nominaal!E22/Inflatie!$D54</f>
        <v>23122.286111297202</v>
      </c>
      <c r="E22" s="7">
        <f>overheidsuitgaven_nominaal!J22/Inflatie!$D54</f>
        <v>5270.792610926801</v>
      </c>
      <c r="F22" s="7">
        <f>overheidsuitgaven_nominaal!K22/Inflatie!$D54</f>
        <v>8910.0191645532195</v>
      </c>
      <c r="G22" s="7">
        <f>overheidsuitgaven_nominaal!L22/Inflatie!$D54</f>
        <v>18674.798417801107</v>
      </c>
      <c r="H22" s="7">
        <f>overheidsuitgaven_nominaal!M22/Inflatie!$D54</f>
        <v>6373.0912213074444</v>
      </c>
      <c r="I22" s="7">
        <f>overheidsuitgaven_nominaal!N22/Inflatie!$D54</f>
        <v>2251.0961695862775</v>
      </c>
      <c r="J22" s="7">
        <f>overheidsuitgaven_nominaal!O22/Inflatie!$D54</f>
        <v>36424.404515599104</v>
      </c>
      <c r="K22" s="7">
        <f>overheidsuitgaven_nominaal!P22/Inflatie!$D54</f>
        <v>6076.3185185126558</v>
      </c>
      <c r="L22" s="7">
        <f>overheidsuitgaven_nominaal!Q22/Inflatie!$D54</f>
        <v>25013.015427489809</v>
      </c>
      <c r="M22" s="7">
        <f>overheidsuitgaven_nominaal!R22/Inflatie!$D54</f>
        <v>79498.842521242725</v>
      </c>
      <c r="N22" s="7"/>
      <c r="O22" s="6">
        <f t="shared" si="1"/>
        <v>227729.88227358874</v>
      </c>
      <c r="P22" s="6">
        <f t="shared" ref="P22:Y22" si="78">(D$28-D$2)/26*(ROW(P22)-2) + D$2</f>
        <v>22820.272400457579</v>
      </c>
      <c r="Q22" s="6">
        <f t="shared" si="78"/>
        <v>6737.9154763296192</v>
      </c>
      <c r="R22" s="6">
        <f t="shared" si="78"/>
        <v>9128.2285255918341</v>
      </c>
      <c r="S22" s="6">
        <f t="shared" si="78"/>
        <v>27837.454739854664</v>
      </c>
      <c r="T22" s="6">
        <f t="shared" si="78"/>
        <v>6968.823841409725</v>
      </c>
      <c r="U22" s="6">
        <f t="shared" si="78"/>
        <v>5827.722390499348</v>
      </c>
      <c r="V22" s="6">
        <f t="shared" si="78"/>
        <v>39418.917598462052</v>
      </c>
      <c r="W22" s="6">
        <f t="shared" si="78"/>
        <v>6132.7628877569186</v>
      </c>
      <c r="X22" s="6">
        <f t="shared" si="78"/>
        <v>25027.720126303277</v>
      </c>
      <c r="Y22" s="6">
        <f t="shared" si="78"/>
        <v>82600.820261932677</v>
      </c>
      <c r="AA22" s="6">
        <f t="shared" si="3"/>
        <v>-1074.566774062987</v>
      </c>
      <c r="AB22" s="6">
        <f t="shared" ref="AB22:AK22" si="79">D22-D21</f>
        <v>-659.20807560309913</v>
      </c>
      <c r="AC22" s="6">
        <f t="shared" si="79"/>
        <v>262.281423695782</v>
      </c>
      <c r="AD22" s="6">
        <f t="shared" si="79"/>
        <v>286.69337182890195</v>
      </c>
      <c r="AE22" s="6">
        <f t="shared" si="79"/>
        <v>-1383.9865071301465</v>
      </c>
      <c r="AF22" s="6">
        <f t="shared" si="79"/>
        <v>-196.11273570974936</v>
      </c>
      <c r="AG22" s="6">
        <f t="shared" si="79"/>
        <v>-97.846096873056013</v>
      </c>
      <c r="AH22" s="6">
        <f t="shared" si="79"/>
        <v>-324.37803461926524</v>
      </c>
      <c r="AI22" s="6">
        <f t="shared" si="79"/>
        <v>274.74724482930469</v>
      </c>
      <c r="AJ22" s="6">
        <f t="shared" si="79"/>
        <v>-77.64640645702093</v>
      </c>
      <c r="AK22" s="6">
        <f t="shared" si="79"/>
        <v>840.8890419753443</v>
      </c>
      <c r="AM22" s="7">
        <v>2015</v>
      </c>
      <c r="AN22" s="6">
        <f t="shared" ref="AN22:AX22" si="80">AN21+AA22</f>
        <v>57825.942042896757</v>
      </c>
      <c r="AO22" s="6">
        <f t="shared" si="80"/>
        <v>-4960.0172193908074</v>
      </c>
      <c r="AP22" s="6">
        <f t="shared" si="80"/>
        <v>-584.21594201676635</v>
      </c>
      <c r="AQ22" s="6">
        <f t="shared" si="80"/>
        <v>4274.21336113301</v>
      </c>
      <c r="AR22" s="6">
        <f t="shared" si="80"/>
        <v>3092.6311841642055</v>
      </c>
      <c r="AS22" s="6">
        <f t="shared" si="80"/>
        <v>1139.025464051354</v>
      </c>
      <c r="AT22" s="6">
        <f t="shared" si="80"/>
        <v>969.51560497102673</v>
      </c>
      <c r="AU22" s="6">
        <f t="shared" si="80"/>
        <v>22021.745058245266</v>
      </c>
      <c r="AV22" s="6">
        <f t="shared" si="80"/>
        <v>2173.9246016274274</v>
      </c>
      <c r="AW22" s="6">
        <f t="shared" si="80"/>
        <v>8566.0648482607576</v>
      </c>
      <c r="AX22" s="6">
        <f t="shared" si="80"/>
        <v>21133.055081851278</v>
      </c>
      <c r="AZ22" s="6">
        <f t="shared" ref="AZ22:BJ22" si="81">(AN$28-0)/25*(ROW(AZ22)-3)</f>
        <v>73941.15963816912</v>
      </c>
      <c r="BA22" s="6">
        <f t="shared" si="81"/>
        <v>-5360.5438272248266</v>
      </c>
      <c r="BB22" s="6">
        <f t="shared" si="81"/>
        <v>873.06624479698451</v>
      </c>
      <c r="BC22" s="6">
        <f t="shared" si="81"/>
        <v>4479.7449316244692</v>
      </c>
      <c r="BD22" s="6">
        <f t="shared" si="81"/>
        <v>12233.845433693305</v>
      </c>
      <c r="BE22" s="6">
        <f t="shared" si="81"/>
        <v>1730.3794127549575</v>
      </c>
      <c r="BF22" s="6">
        <f t="shared" si="81"/>
        <v>852.0903099945665</v>
      </c>
      <c r="BG22" s="6">
        <f t="shared" si="81"/>
        <v>24635.747807108099</v>
      </c>
      <c r="BH22" s="6">
        <f t="shared" si="81"/>
        <v>2211.6928476757771</v>
      </c>
      <c r="BI22" s="6">
        <f t="shared" si="81"/>
        <v>8530.2552348977224</v>
      </c>
      <c r="BJ22" s="6">
        <f t="shared" si="81"/>
        <v>23754.88124284806</v>
      </c>
    </row>
    <row r="23" spans="1:62">
      <c r="A23" s="7">
        <v>2016</v>
      </c>
      <c r="B23" s="11">
        <f>'AMECO Output Gap'!B53/100</f>
        <v>-8.0000000000000002E-3</v>
      </c>
      <c r="C23" s="7">
        <f>overheidsuitgaven_nominaal!C23/Inflatie!$D55</f>
        <v>210778.55421053994</v>
      </c>
      <c r="D23" s="7">
        <f>overheidsuitgaven_nominaal!E23/Inflatie!$D55</f>
        <v>20782.174902236944</v>
      </c>
      <c r="E23" s="7">
        <f>overheidsuitgaven_nominaal!J23/Inflatie!$D55</f>
        <v>5464.3287026024045</v>
      </c>
      <c r="F23" s="7">
        <f>overheidsuitgaven_nominaal!K23/Inflatie!$D55</f>
        <v>9095.3972827721373</v>
      </c>
      <c r="G23" s="7">
        <f>overheidsuitgaven_nominaal!L23/Inflatie!$D55</f>
        <v>18861.649143630457</v>
      </c>
      <c r="H23" s="7">
        <f>overheidsuitgaven_nominaal!M23/Inflatie!$D55</f>
        <v>6699.6828646879385</v>
      </c>
      <c r="I23" s="7">
        <f>overheidsuitgaven_nominaal!N23/Inflatie!$D55</f>
        <v>2018.0178365194158</v>
      </c>
      <c r="J23" s="7">
        <f>overheidsuitgaven_nominaal!O23/Inflatie!$D55</f>
        <v>35009.882412481435</v>
      </c>
      <c r="K23" s="7">
        <f>overheidsuitgaven_nominaal!P23/Inflatie!$D55</f>
        <v>6180.1796243407107</v>
      </c>
      <c r="L23" s="7">
        <f>overheidsuitgaven_nominaal!Q23/Inflatie!$D55</f>
        <v>25482.929288318486</v>
      </c>
      <c r="M23" s="7">
        <f>overheidsuitgaven_nominaal!R23/Inflatie!$D55</f>
        <v>81184.312152950006</v>
      </c>
      <c r="N23" s="7"/>
      <c r="O23" s="6">
        <f t="shared" si="1"/>
        <v>231621.52225454501</v>
      </c>
      <c r="P23" s="6">
        <f t="shared" ref="P23:Y23" si="82">(D$28-D$2)/26*(ROW(P23)-2) + D$2</f>
        <v>22521.719698648434</v>
      </c>
      <c r="Q23" s="6">
        <f t="shared" si="82"/>
        <v>6782.226218220756</v>
      </c>
      <c r="R23" s="6">
        <f t="shared" si="82"/>
        <v>9361.891609533508</v>
      </c>
      <c r="S23" s="6">
        <f t="shared" si="82"/>
        <v>28477.767662873921</v>
      </c>
      <c r="T23" s="6">
        <f t="shared" si="82"/>
        <v>7059.1666635145921</v>
      </c>
      <c r="U23" s="6">
        <f t="shared" si="82"/>
        <v>5256.8939962718596</v>
      </c>
      <c r="V23" s="6">
        <f t="shared" si="82"/>
        <v>40652.1175150993</v>
      </c>
      <c r="W23" s="6">
        <f t="shared" si="82"/>
        <v>6246.0550872773783</v>
      </c>
      <c r="X23" s="6">
        <f t="shared" si="82"/>
        <v>25468.26187611058</v>
      </c>
      <c r="Y23" s="6">
        <f t="shared" si="82"/>
        <v>83771.05190616881</v>
      </c>
      <c r="AA23" s="6">
        <f t="shared" si="3"/>
        <v>-836.11046777642332</v>
      </c>
      <c r="AB23" s="6">
        <f t="shared" ref="AB23:AK23" si="83">D23-D22</f>
        <v>-2340.1112090602583</v>
      </c>
      <c r="AC23" s="6">
        <f t="shared" si="83"/>
        <v>193.53609167560353</v>
      </c>
      <c r="AD23" s="6">
        <f t="shared" si="83"/>
        <v>185.37811821891773</v>
      </c>
      <c r="AE23" s="6">
        <f t="shared" si="83"/>
        <v>186.85072582935027</v>
      </c>
      <c r="AF23" s="6">
        <f t="shared" si="83"/>
        <v>326.59164338049413</v>
      </c>
      <c r="AG23" s="6">
        <f t="shared" si="83"/>
        <v>-233.07833306686166</v>
      </c>
      <c r="AH23" s="6">
        <f t="shared" si="83"/>
        <v>-1414.5221031176698</v>
      </c>
      <c r="AI23" s="6">
        <f t="shared" si="83"/>
        <v>103.86110582805486</v>
      </c>
      <c r="AJ23" s="6">
        <f t="shared" si="83"/>
        <v>469.91386082867757</v>
      </c>
      <c r="AK23" s="6">
        <f t="shared" si="83"/>
        <v>1685.4696317072812</v>
      </c>
      <c r="AM23" s="7">
        <v>2016</v>
      </c>
      <c r="AN23" s="6">
        <f t="shared" ref="AN23:AX23" si="84">AN22+AA23</f>
        <v>56989.831575120334</v>
      </c>
      <c r="AO23" s="6">
        <f t="shared" si="84"/>
        <v>-7300.1284284510657</v>
      </c>
      <c r="AP23" s="6">
        <f t="shared" si="84"/>
        <v>-390.67985034116282</v>
      </c>
      <c r="AQ23" s="6">
        <f t="shared" si="84"/>
        <v>4459.5914793519278</v>
      </c>
      <c r="AR23" s="6">
        <f t="shared" si="84"/>
        <v>3279.4819099935557</v>
      </c>
      <c r="AS23" s="6">
        <f t="shared" si="84"/>
        <v>1465.6171074318481</v>
      </c>
      <c r="AT23" s="6">
        <f t="shared" si="84"/>
        <v>736.43727190416507</v>
      </c>
      <c r="AU23" s="6">
        <f t="shared" si="84"/>
        <v>20607.222955127596</v>
      </c>
      <c r="AV23" s="6">
        <f t="shared" si="84"/>
        <v>2277.7857074554822</v>
      </c>
      <c r="AW23" s="6">
        <f t="shared" si="84"/>
        <v>9035.9787090894351</v>
      </c>
      <c r="AX23" s="6">
        <f t="shared" si="84"/>
        <v>22818.52471355856</v>
      </c>
      <c r="AZ23" s="6">
        <f t="shared" ref="AZ23:BJ23" si="85">(AN$28-0)/25*(ROW(AZ23)-3)</f>
        <v>77832.799619125391</v>
      </c>
      <c r="BA23" s="6">
        <f t="shared" si="85"/>
        <v>-5642.6777128682388</v>
      </c>
      <c r="BB23" s="6">
        <f t="shared" si="85"/>
        <v>919.01709978629947</v>
      </c>
      <c r="BC23" s="6">
        <f t="shared" si="85"/>
        <v>4715.5209806573366</v>
      </c>
      <c r="BD23" s="6">
        <f t="shared" si="85"/>
        <v>12877.732035466635</v>
      </c>
      <c r="BE23" s="6">
        <f t="shared" si="85"/>
        <v>1821.4520134262712</v>
      </c>
      <c r="BF23" s="6">
        <f t="shared" si="85"/>
        <v>896.93716841533319</v>
      </c>
      <c r="BG23" s="6">
        <f t="shared" si="85"/>
        <v>25932.366112745367</v>
      </c>
      <c r="BH23" s="6">
        <f t="shared" si="85"/>
        <v>2328.0977343955551</v>
      </c>
      <c r="BI23" s="6">
        <f t="shared" si="85"/>
        <v>8979.2160367344441</v>
      </c>
      <c r="BJ23" s="6">
        <f t="shared" si="85"/>
        <v>25005.13815036638</v>
      </c>
    </row>
    <row r="24" spans="1:62">
      <c r="A24" s="7">
        <v>2017</v>
      </c>
      <c r="B24" s="11">
        <f>'AMECO Output Gap'!B54/100</f>
        <v>6.0000000000000001E-3</v>
      </c>
      <c r="C24" s="7">
        <f>overheidsuitgaven_nominaal!C24/Inflatie!$D56</f>
        <v>210721.17721611963</v>
      </c>
      <c r="D24" s="7">
        <f>overheidsuitgaven_nominaal!E24/Inflatie!$D56</f>
        <v>19997.030256730257</v>
      </c>
      <c r="E24" s="7">
        <f>overheidsuitgaven_nominaal!J24/Inflatie!$D56</f>
        <v>5735.8168623551146</v>
      </c>
      <c r="F24" s="7">
        <f>overheidsuitgaven_nominaal!K24/Inflatie!$D56</f>
        <v>8908.6359660303915</v>
      </c>
      <c r="G24" s="7">
        <f>overheidsuitgaven_nominaal!L24/Inflatie!$D56</f>
        <v>18759.906469749432</v>
      </c>
      <c r="H24" s="7">
        <f>overheidsuitgaven_nominaal!M24/Inflatie!$D56</f>
        <v>6705.3453954129127</v>
      </c>
      <c r="I24" s="7">
        <f>overheidsuitgaven_nominaal!N24/Inflatie!$D56</f>
        <v>1850.3068813974066</v>
      </c>
      <c r="J24" s="7">
        <f>overheidsuitgaven_nominaal!O24/Inflatie!$D56</f>
        <v>36167.044972430704</v>
      </c>
      <c r="K24" s="7">
        <f>overheidsuitgaven_nominaal!P24/Inflatie!$D56</f>
        <v>6217.8917293470986</v>
      </c>
      <c r="L24" s="7">
        <f>overheidsuitgaven_nominaal!Q24/Inflatie!$D56</f>
        <v>25445.753718519714</v>
      </c>
      <c r="M24" s="7">
        <f>overheidsuitgaven_nominaal!R24/Inflatie!$D56</f>
        <v>80933.444964146591</v>
      </c>
      <c r="N24" s="7"/>
      <c r="O24" s="6">
        <f t="shared" si="1"/>
        <v>235513.16223550128</v>
      </c>
      <c r="P24" s="6">
        <f t="shared" ref="P24:Y24" si="86">(D$28-D$2)/26*(ROW(P24)-2) + D$2</f>
        <v>22223.166996839289</v>
      </c>
      <c r="Q24" s="6">
        <f t="shared" si="86"/>
        <v>6826.5369601118928</v>
      </c>
      <c r="R24" s="6">
        <f t="shared" si="86"/>
        <v>9595.5546934751837</v>
      </c>
      <c r="S24" s="6">
        <f t="shared" si="86"/>
        <v>29118.080585893178</v>
      </c>
      <c r="T24" s="6">
        <f t="shared" si="86"/>
        <v>7149.5094856194592</v>
      </c>
      <c r="U24" s="6">
        <f t="shared" si="86"/>
        <v>4686.0656020443712</v>
      </c>
      <c r="V24" s="6">
        <f t="shared" si="86"/>
        <v>41885.317431736548</v>
      </c>
      <c r="W24" s="6">
        <f t="shared" si="86"/>
        <v>6359.3472867978362</v>
      </c>
      <c r="X24" s="6">
        <f t="shared" si="86"/>
        <v>25908.803625917884</v>
      </c>
      <c r="Y24" s="6">
        <f t="shared" si="86"/>
        <v>84941.283550404929</v>
      </c>
      <c r="AA24" s="6">
        <f t="shared" si="3"/>
        <v>-57.37699442030862</v>
      </c>
      <c r="AB24" s="6">
        <f t="shared" ref="AB24:AK24" si="87">D24-D23</f>
        <v>-785.14464550668708</v>
      </c>
      <c r="AC24" s="6">
        <f t="shared" si="87"/>
        <v>271.48815975271009</v>
      </c>
      <c r="AD24" s="6">
        <f t="shared" si="87"/>
        <v>-186.76131674174576</v>
      </c>
      <c r="AE24" s="6">
        <f t="shared" si="87"/>
        <v>-101.74267388102453</v>
      </c>
      <c r="AF24" s="6">
        <f t="shared" si="87"/>
        <v>5.6625307249742036</v>
      </c>
      <c r="AG24" s="6">
        <f t="shared" si="87"/>
        <v>-167.71095512200918</v>
      </c>
      <c r="AH24" s="6">
        <f t="shared" si="87"/>
        <v>1157.1625599492691</v>
      </c>
      <c r="AI24" s="6">
        <f t="shared" si="87"/>
        <v>37.712105006387901</v>
      </c>
      <c r="AJ24" s="6">
        <f t="shared" si="87"/>
        <v>-37.175569798771903</v>
      </c>
      <c r="AK24" s="6">
        <f t="shared" si="87"/>
        <v>-250.86718880341505</v>
      </c>
      <c r="AM24" s="7">
        <v>2017</v>
      </c>
      <c r="AN24" s="6">
        <f t="shared" ref="AN24:AX24" si="88">AN23+AA24</f>
        <v>56932.454580700025</v>
      </c>
      <c r="AO24" s="6">
        <f t="shared" si="88"/>
        <v>-8085.2730739577528</v>
      </c>
      <c r="AP24" s="6">
        <f t="shared" si="88"/>
        <v>-119.19169058845273</v>
      </c>
      <c r="AQ24" s="6">
        <f t="shared" si="88"/>
        <v>4272.830162610182</v>
      </c>
      <c r="AR24" s="6">
        <f t="shared" si="88"/>
        <v>3177.7392361125312</v>
      </c>
      <c r="AS24" s="6">
        <f t="shared" si="88"/>
        <v>1471.2796381568223</v>
      </c>
      <c r="AT24" s="6">
        <f t="shared" si="88"/>
        <v>568.72631678215589</v>
      </c>
      <c r="AU24" s="6">
        <f t="shared" si="88"/>
        <v>21764.385515076865</v>
      </c>
      <c r="AV24" s="6">
        <f t="shared" si="88"/>
        <v>2315.4978124618701</v>
      </c>
      <c r="AW24" s="6">
        <f t="shared" si="88"/>
        <v>8998.8031392906632</v>
      </c>
      <c r="AX24" s="6">
        <f t="shared" si="88"/>
        <v>22567.657524755145</v>
      </c>
      <c r="AZ24" s="6">
        <f t="shared" ref="AZ24:BJ24" si="89">(AN$28-0)/25*(ROW(AZ24)-3)</f>
        <v>81724.439600081663</v>
      </c>
      <c r="BA24" s="6">
        <f t="shared" si="89"/>
        <v>-5924.8115985116501</v>
      </c>
      <c r="BB24" s="6">
        <f t="shared" si="89"/>
        <v>964.96795477561454</v>
      </c>
      <c r="BC24" s="6">
        <f t="shared" si="89"/>
        <v>4951.2970296902031</v>
      </c>
      <c r="BD24" s="6">
        <f t="shared" si="89"/>
        <v>13521.618637239968</v>
      </c>
      <c r="BE24" s="6">
        <f t="shared" si="89"/>
        <v>1912.5246140975846</v>
      </c>
      <c r="BF24" s="6">
        <f t="shared" si="89"/>
        <v>941.78402683609977</v>
      </c>
      <c r="BG24" s="6">
        <f t="shared" si="89"/>
        <v>27228.984418382635</v>
      </c>
      <c r="BH24" s="6">
        <f t="shared" si="89"/>
        <v>2444.5026211153327</v>
      </c>
      <c r="BI24" s="6">
        <f t="shared" si="89"/>
        <v>9428.1768385711675</v>
      </c>
      <c r="BJ24" s="6">
        <f t="shared" si="89"/>
        <v>26255.395057884696</v>
      </c>
    </row>
    <row r="25" spans="1:62">
      <c r="A25" s="7">
        <v>2018</v>
      </c>
      <c r="B25" s="11">
        <f>'AMECO Output Gap'!B55/100</f>
        <v>1.3000000000000001E-2</v>
      </c>
      <c r="C25" s="7">
        <f>overheidsuitgaven_nominaal!C25/Inflatie!$D57</f>
        <v>216981.36465988011</v>
      </c>
      <c r="D25" s="7">
        <f>overheidsuitgaven_nominaal!E25/Inflatie!$D57</f>
        <v>20749.353971567045</v>
      </c>
      <c r="E25" s="7">
        <f>overheidsuitgaven_nominaal!J25/Inflatie!$D57</f>
        <v>6016.6694768158814</v>
      </c>
      <c r="F25" s="7">
        <f>overheidsuitgaven_nominaal!K25/Inflatie!$D57</f>
        <v>9418.8659817246626</v>
      </c>
      <c r="G25" s="7">
        <f>overheidsuitgaven_nominaal!L25/Inflatie!$D57</f>
        <v>19507.429579890151</v>
      </c>
      <c r="H25" s="7">
        <f>overheidsuitgaven_nominaal!M25/Inflatie!$D57</f>
        <v>7060.9999182953852</v>
      </c>
      <c r="I25" s="7">
        <f>overheidsuitgaven_nominaal!N25/Inflatie!$D57</f>
        <v>2291.5593687321675</v>
      </c>
      <c r="J25" s="7">
        <f>overheidsuitgaven_nominaal!O25/Inflatie!$D57</f>
        <v>37699.997403936584</v>
      </c>
      <c r="K25" s="7">
        <f>overheidsuitgaven_nominaal!P25/Inflatie!$D57</f>
        <v>6551.7645030215699</v>
      </c>
      <c r="L25" s="7">
        <f>overheidsuitgaven_nominaal!Q25/Inflatie!$D57</f>
        <v>25951.114170555429</v>
      </c>
      <c r="M25" s="7">
        <f>overheidsuitgaven_nominaal!R25/Inflatie!$D57</f>
        <v>81733.610285341245</v>
      </c>
      <c r="N25" s="7"/>
      <c r="O25" s="6">
        <f t="shared" si="1"/>
        <v>239404.80221645755</v>
      </c>
      <c r="P25" s="6">
        <f t="shared" ref="P25:Y25" si="90">(D$28-D$2)/26*(ROW(P25)-2) + D$2</f>
        <v>21924.614295030144</v>
      </c>
      <c r="Q25" s="6">
        <f t="shared" si="90"/>
        <v>6870.8477020030305</v>
      </c>
      <c r="R25" s="6">
        <f t="shared" si="90"/>
        <v>9829.2177774168558</v>
      </c>
      <c r="S25" s="6">
        <f t="shared" si="90"/>
        <v>29758.393508912432</v>
      </c>
      <c r="T25" s="6">
        <f t="shared" si="90"/>
        <v>7239.8523077243271</v>
      </c>
      <c r="U25" s="6">
        <f t="shared" si="90"/>
        <v>4115.2372078168828</v>
      </c>
      <c r="V25" s="6">
        <f t="shared" si="90"/>
        <v>43118.517348373796</v>
      </c>
      <c r="W25" s="6">
        <f t="shared" si="90"/>
        <v>6472.6394863182959</v>
      </c>
      <c r="X25" s="6">
        <f t="shared" si="90"/>
        <v>26349.345375725192</v>
      </c>
      <c r="Y25" s="6">
        <f t="shared" si="90"/>
        <v>86111.515194641048</v>
      </c>
      <c r="AA25" s="6">
        <f t="shared" si="3"/>
        <v>6260.1874437604856</v>
      </c>
      <c r="AB25" s="6">
        <f t="shared" ref="AB25:AK25" si="91">D25-D24</f>
        <v>752.32371483678799</v>
      </c>
      <c r="AC25" s="6">
        <f t="shared" si="91"/>
        <v>280.85261446076674</v>
      </c>
      <c r="AD25" s="6">
        <f t="shared" si="91"/>
        <v>510.23001569427106</v>
      </c>
      <c r="AE25" s="6">
        <f t="shared" si="91"/>
        <v>747.52311014071893</v>
      </c>
      <c r="AF25" s="6">
        <f t="shared" si="91"/>
        <v>355.65452288247252</v>
      </c>
      <c r="AG25" s="6">
        <f t="shared" si="91"/>
        <v>441.25248733476087</v>
      </c>
      <c r="AH25" s="6">
        <f t="shared" si="91"/>
        <v>1532.9524315058807</v>
      </c>
      <c r="AI25" s="6">
        <f t="shared" si="91"/>
        <v>333.87277367447132</v>
      </c>
      <c r="AJ25" s="6">
        <f t="shared" si="91"/>
        <v>505.36045203571484</v>
      </c>
      <c r="AK25" s="6">
        <f t="shared" si="91"/>
        <v>800.1653211946541</v>
      </c>
      <c r="AM25" s="7">
        <v>2018</v>
      </c>
      <c r="AN25" s="6">
        <f t="shared" ref="AN25:AX25" si="92">AN24+AA25</f>
        <v>63192.642024460511</v>
      </c>
      <c r="AO25" s="6">
        <f t="shared" si="92"/>
        <v>-7332.9493591209648</v>
      </c>
      <c r="AP25" s="6">
        <f t="shared" si="92"/>
        <v>161.66092387231402</v>
      </c>
      <c r="AQ25" s="6">
        <f t="shared" si="92"/>
        <v>4783.0601783044531</v>
      </c>
      <c r="AR25" s="6">
        <f t="shared" si="92"/>
        <v>3925.2623462532501</v>
      </c>
      <c r="AS25" s="6">
        <f t="shared" si="92"/>
        <v>1826.9341610392948</v>
      </c>
      <c r="AT25" s="6">
        <f t="shared" si="92"/>
        <v>1009.9788041169168</v>
      </c>
      <c r="AU25" s="6">
        <f t="shared" si="92"/>
        <v>23297.337946582746</v>
      </c>
      <c r="AV25" s="6">
        <f t="shared" si="92"/>
        <v>2649.3705861363414</v>
      </c>
      <c r="AW25" s="6">
        <f t="shared" si="92"/>
        <v>9504.1635913263781</v>
      </c>
      <c r="AX25" s="6">
        <f t="shared" si="92"/>
        <v>23367.822845949799</v>
      </c>
      <c r="AZ25" s="6">
        <f t="shared" ref="AZ25:BJ25" si="93">(AN$28-0)/25*(ROW(AZ25)-3)</f>
        <v>85616.079581037935</v>
      </c>
      <c r="BA25" s="6">
        <f t="shared" si="93"/>
        <v>-6206.9454841550623</v>
      </c>
      <c r="BB25" s="6">
        <f t="shared" si="93"/>
        <v>1010.9188097649295</v>
      </c>
      <c r="BC25" s="6">
        <f t="shared" si="93"/>
        <v>5187.0730787230696</v>
      </c>
      <c r="BD25" s="6">
        <f t="shared" si="93"/>
        <v>14165.505239013299</v>
      </c>
      <c r="BE25" s="6">
        <f t="shared" si="93"/>
        <v>2003.5972147688981</v>
      </c>
      <c r="BF25" s="6">
        <f t="shared" si="93"/>
        <v>986.63088525686646</v>
      </c>
      <c r="BG25" s="6">
        <f t="shared" si="93"/>
        <v>28525.602724019904</v>
      </c>
      <c r="BH25" s="6">
        <f t="shared" si="93"/>
        <v>2560.9075078351107</v>
      </c>
      <c r="BI25" s="6">
        <f t="shared" si="93"/>
        <v>9877.1376404078892</v>
      </c>
      <c r="BJ25" s="6">
        <f t="shared" si="93"/>
        <v>27505.651965403016</v>
      </c>
    </row>
    <row r="26" spans="1:62">
      <c r="A26" s="7">
        <v>2019</v>
      </c>
      <c r="B26" s="11">
        <f>'AMECO Output Gap'!B56/100</f>
        <v>1.3999999999999999E-2</v>
      </c>
      <c r="C26" s="7">
        <f>overheidsuitgaven_nominaal!C26/Inflatie!$D58</f>
        <v>223519.4762489936</v>
      </c>
      <c r="D26" s="7">
        <f>overheidsuitgaven_nominaal!E26/Inflatie!$D58</f>
        <v>21084.354188775349</v>
      </c>
      <c r="E26" s="7">
        <f>overheidsuitgaven_nominaal!J26/Inflatie!$D58</f>
        <v>6526.2494780621382</v>
      </c>
      <c r="F26" s="7">
        <f>overheidsuitgaven_nominaal!K26/Inflatie!$D58</f>
        <v>9797.2057164668822</v>
      </c>
      <c r="G26" s="7">
        <f>overheidsuitgaven_nominaal!L26/Inflatie!$D58</f>
        <v>20388.655994413926</v>
      </c>
      <c r="H26" s="7">
        <f>overheidsuitgaven_nominaal!M26/Inflatie!$D58</f>
        <v>7248.0526703358109</v>
      </c>
      <c r="I26" s="7">
        <f>overheidsuitgaven_nominaal!N26/Inflatie!$D58</f>
        <v>2372.2916852755875</v>
      </c>
      <c r="J26" s="7">
        <f>overheidsuitgaven_nominaal!O26/Inflatie!$D58</f>
        <v>39051.119001880419</v>
      </c>
      <c r="K26" s="7">
        <f>overheidsuitgaven_nominaal!P26/Inflatie!$D58</f>
        <v>6478.6078568722851</v>
      </c>
      <c r="L26" s="7">
        <f>overheidsuitgaven_nominaal!Q26/Inflatie!$D58</f>
        <v>26456.762759116104</v>
      </c>
      <c r="M26" s="7">
        <f>overheidsuitgaven_nominaal!R26/Inflatie!$D58</f>
        <v>84116.1768977951</v>
      </c>
      <c r="N26" s="7"/>
      <c r="O26" s="6">
        <f t="shared" si="1"/>
        <v>243296.44219741379</v>
      </c>
      <c r="P26" s="6">
        <f t="shared" ref="P26:Y26" si="94">(D$28-D$2)/26*(ROW(P26)-2) + D$2</f>
        <v>21626.061593220998</v>
      </c>
      <c r="Q26" s="6">
        <f t="shared" si="94"/>
        <v>6915.1584438941672</v>
      </c>
      <c r="R26" s="6">
        <f t="shared" si="94"/>
        <v>10062.880861358532</v>
      </c>
      <c r="S26" s="6">
        <f t="shared" si="94"/>
        <v>30398.706431931685</v>
      </c>
      <c r="T26" s="6">
        <f t="shared" si="94"/>
        <v>7330.1951298291942</v>
      </c>
      <c r="U26" s="6">
        <f t="shared" si="94"/>
        <v>3544.4088135893944</v>
      </c>
      <c r="V26" s="6">
        <f t="shared" si="94"/>
        <v>44351.717265011051</v>
      </c>
      <c r="W26" s="6">
        <f t="shared" si="94"/>
        <v>6585.9316858387547</v>
      </c>
      <c r="X26" s="6">
        <f t="shared" si="94"/>
        <v>26789.887125532499</v>
      </c>
      <c r="Y26" s="6">
        <f t="shared" si="94"/>
        <v>87281.746838877181</v>
      </c>
      <c r="AA26" s="6">
        <f t="shared" si="3"/>
        <v>6538.1115891134832</v>
      </c>
      <c r="AB26" s="6">
        <f t="shared" ref="AB26:AK26" si="95">D26-D25</f>
        <v>335.00021720830409</v>
      </c>
      <c r="AC26" s="6">
        <f t="shared" si="95"/>
        <v>509.58000124625687</v>
      </c>
      <c r="AD26" s="6">
        <f t="shared" si="95"/>
        <v>378.33973474221966</v>
      </c>
      <c r="AE26" s="6">
        <f t="shared" si="95"/>
        <v>881.22641452377502</v>
      </c>
      <c r="AF26" s="6">
        <f t="shared" si="95"/>
        <v>187.05275204042573</v>
      </c>
      <c r="AG26" s="6">
        <f t="shared" si="95"/>
        <v>80.732316543419984</v>
      </c>
      <c r="AH26" s="6">
        <f t="shared" si="95"/>
        <v>1351.1215979438348</v>
      </c>
      <c r="AI26" s="6">
        <f t="shared" si="95"/>
        <v>-73.156646149284825</v>
      </c>
      <c r="AJ26" s="6">
        <f t="shared" si="95"/>
        <v>505.6485885606744</v>
      </c>
      <c r="AK26" s="6">
        <f t="shared" si="95"/>
        <v>2382.5666124538548</v>
      </c>
      <c r="AM26" s="7">
        <v>2019</v>
      </c>
      <c r="AN26" s="6">
        <f t="shared" ref="AN26:AX26" si="96">AN25+AA26</f>
        <v>69730.753613573994</v>
      </c>
      <c r="AO26" s="6">
        <f t="shared" si="96"/>
        <v>-6997.9491419126607</v>
      </c>
      <c r="AP26" s="6">
        <f t="shared" si="96"/>
        <v>671.24092511857089</v>
      </c>
      <c r="AQ26" s="6">
        <f t="shared" si="96"/>
        <v>5161.3999130466727</v>
      </c>
      <c r="AR26" s="6">
        <f t="shared" si="96"/>
        <v>4806.4887607770252</v>
      </c>
      <c r="AS26" s="6">
        <f t="shared" si="96"/>
        <v>2013.9869130797206</v>
      </c>
      <c r="AT26" s="6">
        <f t="shared" si="96"/>
        <v>1090.7111206603367</v>
      </c>
      <c r="AU26" s="6">
        <f t="shared" si="96"/>
        <v>24648.45954452658</v>
      </c>
      <c r="AV26" s="6">
        <f t="shared" si="96"/>
        <v>2576.2139399870566</v>
      </c>
      <c r="AW26" s="6">
        <f t="shared" si="96"/>
        <v>10009.812179887052</v>
      </c>
      <c r="AX26" s="6">
        <f t="shared" si="96"/>
        <v>25750.389458403653</v>
      </c>
      <c r="AZ26" s="6">
        <f t="shared" ref="AZ26:BJ26" si="97">(AN$28-0)/25*(ROW(AZ26)-3)</f>
        <v>89507.719561994192</v>
      </c>
      <c r="BA26" s="6">
        <f t="shared" si="97"/>
        <v>-6489.0793697984745</v>
      </c>
      <c r="BB26" s="6">
        <f t="shared" si="97"/>
        <v>1056.8696647542445</v>
      </c>
      <c r="BC26" s="6">
        <f t="shared" si="97"/>
        <v>5422.8491277559369</v>
      </c>
      <c r="BD26" s="6">
        <f t="shared" si="97"/>
        <v>14809.391840786631</v>
      </c>
      <c r="BE26" s="6">
        <f t="shared" si="97"/>
        <v>2094.6698154402116</v>
      </c>
      <c r="BF26" s="6">
        <f t="shared" si="97"/>
        <v>1031.477743677633</v>
      </c>
      <c r="BG26" s="6">
        <f t="shared" si="97"/>
        <v>29822.221029657172</v>
      </c>
      <c r="BH26" s="6">
        <f t="shared" si="97"/>
        <v>2677.3123945548882</v>
      </c>
      <c r="BI26" s="6">
        <f t="shared" si="97"/>
        <v>10326.098442244611</v>
      </c>
      <c r="BJ26" s="6">
        <f t="shared" si="97"/>
        <v>28755.908872921336</v>
      </c>
    </row>
    <row r="27" spans="1:62">
      <c r="A27" s="7">
        <v>2020</v>
      </c>
      <c r="B27" s="11">
        <f>'AMECO Output Gap'!B57/100</f>
        <v>-0.04</v>
      </c>
      <c r="C27" s="7">
        <f>overheidsuitgaven_nominaal!C27/Inflatie!$D59</f>
        <v>245695.88091861387</v>
      </c>
      <c r="D27" s="7">
        <f>overheidsuitgaven_nominaal!E27/Inflatie!$D59</f>
        <v>21357.989769164029</v>
      </c>
      <c r="E27" s="7">
        <f>overheidsuitgaven_nominaal!J27/Inflatie!$D59</f>
        <v>6911.8914926749012</v>
      </c>
      <c r="F27" s="7">
        <f>overheidsuitgaven_nominaal!K27/Inflatie!$D59</f>
        <v>10351.070194898753</v>
      </c>
      <c r="G27" s="7">
        <f>overheidsuitgaven_nominaal!L27/Inflatie!$D59</f>
        <v>32151.451974136955</v>
      </c>
      <c r="H27" s="7">
        <f>overheidsuitgaven_nominaal!M27/Inflatie!$D59</f>
        <v>7634.1641621837543</v>
      </c>
      <c r="I27" s="7">
        <f>overheidsuitgaven_nominaal!N27/Inflatie!$D59</f>
        <v>2427.9969649114578</v>
      </c>
      <c r="J27" s="7">
        <f>overheidsuitgaven_nominaal!O27/Inflatie!$D59</f>
        <v>42828.834642938818</v>
      </c>
      <c r="K27" s="7">
        <f>overheidsuitgaven_nominaal!P27/Inflatie!$D59</f>
        <v>6670.7040119639096</v>
      </c>
      <c r="L27" s="7">
        <f>overheidsuitgaven_nominaal!Q27/Inflatie!$D59</f>
        <v>26892.404099275616</v>
      </c>
      <c r="M27" s="7">
        <f>overheidsuitgaven_nominaal!R27/Inflatie!$D59</f>
        <v>88469.37360646567</v>
      </c>
      <c r="N27" s="7"/>
      <c r="O27" s="6">
        <f t="shared" si="1"/>
        <v>247188.08217837007</v>
      </c>
      <c r="P27" s="6">
        <f t="shared" ref="P27:Y27" si="98">(D$28-D$2)/26*(ROW(P27)-2) + D$2</f>
        <v>21327.508891411857</v>
      </c>
      <c r="Q27" s="6">
        <f t="shared" si="98"/>
        <v>6959.4691857853049</v>
      </c>
      <c r="R27" s="6">
        <f t="shared" si="98"/>
        <v>10296.543945300205</v>
      </c>
      <c r="S27" s="6">
        <f t="shared" si="98"/>
        <v>31039.019354950942</v>
      </c>
      <c r="T27" s="6">
        <f t="shared" si="98"/>
        <v>7420.5379519340622</v>
      </c>
      <c r="U27" s="6">
        <f t="shared" si="98"/>
        <v>2973.580419361906</v>
      </c>
      <c r="V27" s="6">
        <f t="shared" si="98"/>
        <v>45584.917181648299</v>
      </c>
      <c r="W27" s="6">
        <f t="shared" si="98"/>
        <v>6699.2238853592135</v>
      </c>
      <c r="X27" s="6">
        <f t="shared" si="98"/>
        <v>27230.428875339803</v>
      </c>
      <c r="Y27" s="6">
        <f t="shared" si="98"/>
        <v>88451.9784831133</v>
      </c>
      <c r="AA27" s="6">
        <f t="shared" si="3"/>
        <v>22176.404669620271</v>
      </c>
      <c r="AB27" s="6">
        <f t="shared" ref="AB27:AK27" si="99">D27-D26</f>
        <v>273.63558038867995</v>
      </c>
      <c r="AC27" s="6">
        <f t="shared" si="99"/>
        <v>385.64201461276298</v>
      </c>
      <c r="AD27" s="6">
        <f t="shared" si="99"/>
        <v>553.86447843187125</v>
      </c>
      <c r="AE27" s="6">
        <f t="shared" si="99"/>
        <v>11762.795979723029</v>
      </c>
      <c r="AF27" s="6">
        <f t="shared" si="99"/>
        <v>386.1114918479434</v>
      </c>
      <c r="AG27" s="6">
        <f t="shared" si="99"/>
        <v>55.705279635870284</v>
      </c>
      <c r="AH27" s="6">
        <f t="shared" si="99"/>
        <v>3777.7156410583993</v>
      </c>
      <c r="AI27" s="6">
        <f t="shared" si="99"/>
        <v>192.0961550916245</v>
      </c>
      <c r="AJ27" s="6">
        <f t="shared" si="99"/>
        <v>435.64134015951277</v>
      </c>
      <c r="AK27" s="6">
        <f t="shared" si="99"/>
        <v>4353.1967086705699</v>
      </c>
      <c r="AM27" s="7">
        <v>2020</v>
      </c>
      <c r="AN27" s="6">
        <f t="shared" ref="AN27:AX27" si="100">AN26+AA27</f>
        <v>91907.158283194265</v>
      </c>
      <c r="AO27" s="6">
        <f t="shared" si="100"/>
        <v>-6724.3135615239808</v>
      </c>
      <c r="AP27" s="6">
        <f t="shared" si="100"/>
        <v>1056.8829397313339</v>
      </c>
      <c r="AQ27" s="6">
        <f t="shared" si="100"/>
        <v>5715.264391478544</v>
      </c>
      <c r="AR27" s="6">
        <f t="shared" si="100"/>
        <v>16569.284740500054</v>
      </c>
      <c r="AS27" s="6">
        <f t="shared" si="100"/>
        <v>2400.098404927664</v>
      </c>
      <c r="AT27" s="6">
        <f t="shared" si="100"/>
        <v>1146.416400296207</v>
      </c>
      <c r="AU27" s="6">
        <f t="shared" si="100"/>
        <v>28426.17518558498</v>
      </c>
      <c r="AV27" s="6">
        <f t="shared" si="100"/>
        <v>2768.3100950786811</v>
      </c>
      <c r="AW27" s="6">
        <f t="shared" si="100"/>
        <v>10445.453520046565</v>
      </c>
      <c r="AX27" s="6">
        <f t="shared" si="100"/>
        <v>30103.586167074223</v>
      </c>
      <c r="AZ27" s="6">
        <f t="shared" ref="AZ27:BJ27" si="101">(AN$28-0)/25*(ROW(AZ27)-3)</f>
        <v>93399.359542950464</v>
      </c>
      <c r="BA27" s="6">
        <f t="shared" si="101"/>
        <v>-6771.2132554418858</v>
      </c>
      <c r="BB27" s="6">
        <f t="shared" si="101"/>
        <v>1102.8205197435595</v>
      </c>
      <c r="BC27" s="6">
        <f t="shared" si="101"/>
        <v>5658.6251767888034</v>
      </c>
      <c r="BD27" s="6">
        <f t="shared" si="101"/>
        <v>15453.278442559964</v>
      </c>
      <c r="BE27" s="6">
        <f t="shared" si="101"/>
        <v>2185.742416111525</v>
      </c>
      <c r="BF27" s="6">
        <f t="shared" si="101"/>
        <v>1076.3246020983997</v>
      </c>
      <c r="BG27" s="6">
        <f t="shared" si="101"/>
        <v>31118.83933529444</v>
      </c>
      <c r="BH27" s="6">
        <f t="shared" si="101"/>
        <v>2793.7172812746658</v>
      </c>
      <c r="BI27" s="6">
        <f t="shared" si="101"/>
        <v>10775.059244081334</v>
      </c>
      <c r="BJ27" s="6">
        <f t="shared" si="101"/>
        <v>30006.165780439653</v>
      </c>
    </row>
    <row r="28" spans="1:62">
      <c r="A28" s="7">
        <v>2021</v>
      </c>
      <c r="B28" s="11">
        <f>'AMECO Output Gap'!B58/100</f>
        <v>-0.01</v>
      </c>
      <c r="C28" s="7">
        <f>overheidsuitgaven_nominaal!C28/Inflatie!$D60</f>
        <v>251079.72215932634</v>
      </c>
      <c r="D28" s="7">
        <f>overheidsuitgaven_nominaal!E28/Inflatie!$D60</f>
        <v>21028.956189602712</v>
      </c>
      <c r="E28" s="7">
        <f>overheidsuitgaven_nominaal!J28/Inflatie!$D60</f>
        <v>7003.7799276764417</v>
      </c>
      <c r="F28" s="7">
        <f>overheidsuitgaven_nominaal!K28/Inflatie!$D60</f>
        <v>10530.207029241879</v>
      </c>
      <c r="G28" s="7">
        <f>overheidsuitgaven_nominaal!L28/Inflatie!$D60</f>
        <v>31679.332277970196</v>
      </c>
      <c r="H28" s="7">
        <f>overheidsuitgaven_nominaal!M28/Inflatie!$D60</f>
        <v>7510.8807740389293</v>
      </c>
      <c r="I28" s="7">
        <f>overheidsuitgaven_nominaal!N28/Inflatie!$D60</f>
        <v>2402.7520251344172</v>
      </c>
      <c r="J28" s="7">
        <f>overheidsuitgaven_nominaal!O28/Inflatie!$D60</f>
        <v>46818.117098285547</v>
      </c>
      <c r="K28" s="7">
        <f>overheidsuitgaven_nominaal!P28/Inflatie!$D60</f>
        <v>6812.5160848796722</v>
      </c>
      <c r="L28" s="7">
        <f>overheidsuitgaven_nominaal!Q28/Inflatie!$D60</f>
        <v>27670.970625147107</v>
      </c>
      <c r="M28" s="7">
        <f>overheidsuitgaven_nominaal!R28/Inflatie!$D60</f>
        <v>89622.210127349419</v>
      </c>
      <c r="N28" s="7"/>
      <c r="O28" s="6">
        <f t="shared" si="1"/>
        <v>251079.72215932634</v>
      </c>
      <c r="P28" s="6">
        <f t="shared" ref="P28:Y28" si="102">(D$28-D$2)/26*(ROW(P28)-2) + D$2</f>
        <v>21028.956189602712</v>
      </c>
      <c r="Q28" s="6">
        <f t="shared" si="102"/>
        <v>7003.7799276764417</v>
      </c>
      <c r="R28" s="6">
        <f t="shared" si="102"/>
        <v>10530.207029241879</v>
      </c>
      <c r="S28" s="6">
        <f t="shared" si="102"/>
        <v>31679.332277970199</v>
      </c>
      <c r="T28" s="6">
        <f t="shared" si="102"/>
        <v>7510.8807740389293</v>
      </c>
      <c r="U28" s="6">
        <f t="shared" si="102"/>
        <v>2402.7520251344176</v>
      </c>
      <c r="V28" s="6">
        <f t="shared" si="102"/>
        <v>46818.117098285547</v>
      </c>
      <c r="W28" s="6">
        <f t="shared" si="102"/>
        <v>6812.5160848796722</v>
      </c>
      <c r="X28" s="6">
        <f t="shared" si="102"/>
        <v>27670.970625147107</v>
      </c>
      <c r="Y28" s="6">
        <f t="shared" si="102"/>
        <v>89622.210127349419</v>
      </c>
      <c r="AA28" s="6">
        <f t="shared" si="3"/>
        <v>5383.8412407124706</v>
      </c>
      <c r="AB28" s="6">
        <f t="shared" ref="AB28:AK28" si="103">D28-D27</f>
        <v>-329.03357956131731</v>
      </c>
      <c r="AC28" s="6">
        <f t="shared" si="103"/>
        <v>91.888435001540529</v>
      </c>
      <c r="AD28" s="6">
        <f t="shared" si="103"/>
        <v>179.13683434312588</v>
      </c>
      <c r="AE28" s="6">
        <f t="shared" si="103"/>
        <v>-472.11969616675924</v>
      </c>
      <c r="AF28" s="6">
        <f t="shared" si="103"/>
        <v>-123.28338814482504</v>
      </c>
      <c r="AG28" s="6">
        <f t="shared" si="103"/>
        <v>-25.244939777040599</v>
      </c>
      <c r="AH28" s="6">
        <f t="shared" si="103"/>
        <v>3989.282455346729</v>
      </c>
      <c r="AI28" s="6">
        <f t="shared" si="103"/>
        <v>141.81207291576266</v>
      </c>
      <c r="AJ28" s="6">
        <f t="shared" si="103"/>
        <v>778.56652587149074</v>
      </c>
      <c r="AK28" s="6">
        <f t="shared" si="103"/>
        <v>1152.8365208837495</v>
      </c>
      <c r="AM28" s="7">
        <v>2021</v>
      </c>
      <c r="AN28" s="6">
        <f t="shared" ref="AN28:AX28" si="104">AN27+AA28</f>
        <v>97290.999523906736</v>
      </c>
      <c r="AO28" s="6">
        <f t="shared" si="104"/>
        <v>-7053.3471410852981</v>
      </c>
      <c r="AP28" s="6">
        <f t="shared" si="104"/>
        <v>1148.7713747328744</v>
      </c>
      <c r="AQ28" s="6">
        <f t="shared" si="104"/>
        <v>5894.4012258216699</v>
      </c>
      <c r="AR28" s="6">
        <f t="shared" si="104"/>
        <v>16097.165044333295</v>
      </c>
      <c r="AS28" s="6">
        <f t="shared" si="104"/>
        <v>2276.8150167828389</v>
      </c>
      <c r="AT28" s="6">
        <f t="shared" si="104"/>
        <v>1121.1714605191664</v>
      </c>
      <c r="AU28" s="6">
        <f t="shared" si="104"/>
        <v>32415.457640931709</v>
      </c>
      <c r="AV28" s="6">
        <f t="shared" si="104"/>
        <v>2910.1221679944438</v>
      </c>
      <c r="AW28" s="6">
        <f t="shared" si="104"/>
        <v>11224.020045918056</v>
      </c>
      <c r="AX28" s="6">
        <f t="shared" si="104"/>
        <v>31256.422687957973</v>
      </c>
      <c r="AZ28" s="6">
        <f t="shared" ref="AZ28:BJ28" si="105">(AN$28-0)/25*(ROW(AZ28)-3)</f>
        <v>97290.999523906736</v>
      </c>
      <c r="BA28" s="6">
        <f t="shared" si="105"/>
        <v>-7053.3471410852981</v>
      </c>
      <c r="BB28" s="6">
        <f t="shared" si="105"/>
        <v>1148.7713747328744</v>
      </c>
      <c r="BC28" s="6">
        <f t="shared" si="105"/>
        <v>5894.4012258216699</v>
      </c>
      <c r="BD28" s="6">
        <f t="shared" si="105"/>
        <v>16097.165044333295</v>
      </c>
      <c r="BE28" s="6">
        <f t="shared" si="105"/>
        <v>2276.8150167828389</v>
      </c>
      <c r="BF28" s="6">
        <f t="shared" si="105"/>
        <v>1121.1714605191664</v>
      </c>
      <c r="BG28" s="6">
        <f t="shared" si="105"/>
        <v>32415.457640931709</v>
      </c>
      <c r="BH28" s="6">
        <f t="shared" si="105"/>
        <v>2910.1221679944438</v>
      </c>
      <c r="BI28" s="6">
        <f t="shared" si="105"/>
        <v>11224.020045918056</v>
      </c>
      <c r="BJ28" s="6">
        <f t="shared" si="105"/>
        <v>31256.422687957973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Blad17">
    <outlinePr summaryBelow="0" summaryRight="0"/>
  </sheetPr>
  <dimension ref="A1:AA28"/>
  <sheetViews>
    <sheetView topLeftCell="H1" workbookViewId="0"/>
  </sheetViews>
  <sheetFormatPr defaultColWidth="12.6640625" defaultRowHeight="15.75" customHeight="1"/>
  <sheetData>
    <row r="1" spans="1:27">
      <c r="A1" s="7" t="s">
        <v>130</v>
      </c>
      <c r="B1" s="7" t="s">
        <v>19</v>
      </c>
      <c r="C1" s="7" t="s">
        <v>117</v>
      </c>
      <c r="D1" s="7" t="s">
        <v>119</v>
      </c>
      <c r="E1" s="7" t="s">
        <v>120</v>
      </c>
      <c r="F1" s="7" t="s">
        <v>121</v>
      </c>
      <c r="G1" s="7" t="s">
        <v>122</v>
      </c>
      <c r="H1" s="7" t="s">
        <v>123</v>
      </c>
      <c r="I1" s="7" t="s">
        <v>124</v>
      </c>
      <c r="J1" s="7" t="s">
        <v>125</v>
      </c>
      <c r="K1" s="7" t="s">
        <v>126</v>
      </c>
      <c r="L1" s="7" t="s">
        <v>127</v>
      </c>
      <c r="M1" s="7" t="s">
        <v>128</v>
      </c>
      <c r="N1" s="7" t="s">
        <v>131</v>
      </c>
      <c r="O1" s="7" t="s">
        <v>130</v>
      </c>
      <c r="P1" s="7" t="s">
        <v>117</v>
      </c>
      <c r="Q1" s="7" t="s">
        <v>119</v>
      </c>
      <c r="R1" s="7" t="s">
        <v>120</v>
      </c>
      <c r="S1" s="7" t="s">
        <v>121</v>
      </c>
      <c r="T1" s="7" t="s">
        <v>122</v>
      </c>
      <c r="U1" s="7" t="s">
        <v>123</v>
      </c>
      <c r="V1" s="7" t="s">
        <v>124</v>
      </c>
      <c r="W1" s="7" t="s">
        <v>125</v>
      </c>
      <c r="X1" s="7" t="s">
        <v>126</v>
      </c>
      <c r="Y1" s="7" t="s">
        <v>127</v>
      </c>
      <c r="Z1" s="7" t="s">
        <v>128</v>
      </c>
      <c r="AA1" s="7" t="s">
        <v>132</v>
      </c>
    </row>
    <row r="2" spans="1:27">
      <c r="A2" s="7">
        <v>1995</v>
      </c>
      <c r="B2" s="11">
        <f>'AMECO Output Gap'!B32/100</f>
        <v>-1.3000000000000001E-2</v>
      </c>
      <c r="O2" s="7">
        <v>1995</v>
      </c>
    </row>
    <row r="3" spans="1:27">
      <c r="A3" s="7">
        <v>1996</v>
      </c>
      <c r="B3" s="11">
        <f>'AMECO Output Gap'!B33/100</f>
        <v>-1.2E-2</v>
      </c>
      <c r="C3" s="6">
        <v>-16781.635910749348</v>
      </c>
      <c r="D3" s="6">
        <v>28791.326436640469</v>
      </c>
      <c r="E3" s="6">
        <v>3.3079144366911351</v>
      </c>
      <c r="F3" s="6">
        <v>180.83895666185981</v>
      </c>
      <c r="G3" s="6">
        <v>550.97095416735283</v>
      </c>
      <c r="H3" s="6">
        <v>72.098357943713381</v>
      </c>
      <c r="I3" s="6">
        <v>-15962.709710433865</v>
      </c>
      <c r="J3" s="6">
        <v>-352.25980836325289</v>
      </c>
      <c r="K3" s="6">
        <v>35.475019537487697</v>
      </c>
      <c r="L3" s="6">
        <v>230.06544907188072</v>
      </c>
      <c r="M3" s="6">
        <v>-830.39993781876547</v>
      </c>
      <c r="N3" s="6">
        <f t="shared" ref="N3:N28" si="0">SUM(D3:F3)+SUM(H3:L3)</f>
        <v>12998.142615494986</v>
      </c>
      <c r="O3" s="7">
        <v>1996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/>
      <c r="AA3" s="6">
        <f t="shared" ref="AA3:AA28" si="1">SUM(Q3:S3)+SUM(U3:Y3)</f>
        <v>0</v>
      </c>
    </row>
    <row r="4" spans="1:27">
      <c r="A4" s="7">
        <v>1997</v>
      </c>
      <c r="B4" s="11">
        <f>'AMECO Output Gap'!B34/100</f>
        <v>-5.0000000000000001E-3</v>
      </c>
      <c r="C4" s="6">
        <v>2560.733472136897</v>
      </c>
      <c r="D4" s="6">
        <v>-121.62376721571127</v>
      </c>
      <c r="E4" s="6">
        <v>-193.56395681367121</v>
      </c>
      <c r="F4" s="6">
        <v>143.52827625867849</v>
      </c>
      <c r="G4" s="6">
        <v>1547.6406630330493</v>
      </c>
      <c r="H4" s="6">
        <v>113.26595538967558</v>
      </c>
      <c r="I4" s="6">
        <v>415.92622754677382</v>
      </c>
      <c r="J4" s="6">
        <v>1424.3675715323734</v>
      </c>
      <c r="K4" s="6">
        <v>273.73223610289642</v>
      </c>
      <c r="L4" s="6">
        <v>297.39725983205426</v>
      </c>
      <c r="M4" s="6">
        <v>-1339.9369935291979</v>
      </c>
      <c r="N4" s="6">
        <f t="shared" si="0"/>
        <v>2353.0298026330693</v>
      </c>
      <c r="O4" s="7">
        <v>1997</v>
      </c>
      <c r="P4" s="6">
        <v>2560.733472136897</v>
      </c>
      <c r="Q4" s="6">
        <v>-121.62376721571127</v>
      </c>
      <c r="R4" s="6">
        <v>-193.56395681367121</v>
      </c>
      <c r="S4" s="6">
        <v>143.52827625867849</v>
      </c>
      <c r="T4" s="6">
        <v>1547.6406630330493</v>
      </c>
      <c r="U4" s="6">
        <v>113.26595538967558</v>
      </c>
      <c r="V4" s="6">
        <v>415.92622754677382</v>
      </c>
      <c r="W4" s="6">
        <v>1424.3675715323734</v>
      </c>
      <c r="X4" s="6">
        <v>273.73223610289642</v>
      </c>
      <c r="Y4" s="6">
        <v>297.39725983205426</v>
      </c>
      <c r="Z4" s="6">
        <v>-1339.9369935291979</v>
      </c>
      <c r="AA4" s="6">
        <f t="shared" si="1"/>
        <v>2353.0298026330693</v>
      </c>
    </row>
    <row r="5" spans="1:27">
      <c r="A5" s="7">
        <v>1998</v>
      </c>
      <c r="B5" s="11">
        <f>'AMECO Output Gap'!B35/100</f>
        <v>5.0000000000000001E-3</v>
      </c>
      <c r="C5" s="6">
        <v>3700.3981488651189</v>
      </c>
      <c r="D5" s="6">
        <v>274.24779002326977</v>
      </c>
      <c r="E5" s="6">
        <v>-70.036104087227613</v>
      </c>
      <c r="F5" s="6">
        <v>290.01525219750238</v>
      </c>
      <c r="G5" s="6">
        <v>1140.440513128262</v>
      </c>
      <c r="H5" s="6">
        <v>40.901922997111797</v>
      </c>
      <c r="I5" s="6">
        <v>497.32831576217109</v>
      </c>
      <c r="J5" s="6">
        <v>521.71567621622307</v>
      </c>
      <c r="K5" s="6">
        <v>230.85492506473292</v>
      </c>
      <c r="L5" s="6">
        <v>410.71660556516144</v>
      </c>
      <c r="M5" s="6">
        <v>364.21325199789135</v>
      </c>
      <c r="N5" s="6">
        <f t="shared" si="0"/>
        <v>2195.7443837389446</v>
      </c>
      <c r="O5" s="7">
        <v>1998</v>
      </c>
      <c r="P5" s="6">
        <v>6261.1316210020159</v>
      </c>
      <c r="Q5" s="6">
        <v>152.6240228075585</v>
      </c>
      <c r="R5" s="6">
        <v>-263.60006090089882</v>
      </c>
      <c r="S5" s="6">
        <v>433.54352845618087</v>
      </c>
      <c r="T5" s="6">
        <v>2688.0811761613113</v>
      </c>
      <c r="U5" s="6">
        <v>154.16787838678738</v>
      </c>
      <c r="V5" s="6">
        <v>913.2545433089449</v>
      </c>
      <c r="W5" s="6">
        <v>1946.0832477485965</v>
      </c>
      <c r="X5" s="6">
        <v>504.58716116762935</v>
      </c>
      <c r="Y5" s="6">
        <v>708.1138653972157</v>
      </c>
      <c r="Z5" s="6">
        <v>-975.72374153130659</v>
      </c>
      <c r="AA5" s="6">
        <f t="shared" si="1"/>
        <v>4548.7741863720148</v>
      </c>
    </row>
    <row r="6" spans="1:27">
      <c r="A6" s="7">
        <v>1999</v>
      </c>
      <c r="B6" s="11">
        <f>'AMECO Output Gap'!B36/100</f>
        <v>1.9E-2</v>
      </c>
      <c r="C6" s="6">
        <v>3795.4900780436583</v>
      </c>
      <c r="D6" s="6">
        <v>-10.598121403447294</v>
      </c>
      <c r="E6" s="6">
        <v>511.24603038270925</v>
      </c>
      <c r="F6" s="6">
        <v>296.00562038514636</v>
      </c>
      <c r="G6" s="6">
        <v>726.63784211461098</v>
      </c>
      <c r="H6" s="6">
        <v>165.25364922425615</v>
      </c>
      <c r="I6" s="6">
        <v>-152.25549677770982</v>
      </c>
      <c r="J6" s="6">
        <v>641.39866568401339</v>
      </c>
      <c r="K6" s="6">
        <v>336.64130835970445</v>
      </c>
      <c r="L6" s="6">
        <v>902.05601250907057</v>
      </c>
      <c r="M6" s="6">
        <v>379.10456756530039</v>
      </c>
      <c r="N6" s="6">
        <f t="shared" si="0"/>
        <v>2689.7476683637433</v>
      </c>
      <c r="O6" s="7">
        <v>1999</v>
      </c>
      <c r="P6" s="6">
        <v>10056.621699045674</v>
      </c>
      <c r="Q6" s="6">
        <v>142.02590140411121</v>
      </c>
      <c r="R6" s="6">
        <v>247.64596948181043</v>
      </c>
      <c r="S6" s="6">
        <v>729.54914884132722</v>
      </c>
      <c r="T6" s="6">
        <v>3414.7190182759223</v>
      </c>
      <c r="U6" s="6">
        <v>319.42152761104353</v>
      </c>
      <c r="V6" s="6">
        <v>760.99904653123508</v>
      </c>
      <c r="W6" s="6">
        <v>2587.4819134326099</v>
      </c>
      <c r="X6" s="6">
        <v>841.2284695273338</v>
      </c>
      <c r="Y6" s="6">
        <v>1610.1698779062863</v>
      </c>
      <c r="Z6" s="6">
        <v>-596.6191739660062</v>
      </c>
      <c r="AA6" s="6">
        <f t="shared" si="1"/>
        <v>7238.5218547357572</v>
      </c>
    </row>
    <row r="7" spans="1:27">
      <c r="A7" s="7">
        <v>2000</v>
      </c>
      <c r="B7" s="11">
        <f>'AMECO Output Gap'!B37/100</f>
        <v>2.7000000000000003E-2</v>
      </c>
      <c r="C7" s="6">
        <v>4046.6772103584663</v>
      </c>
      <c r="D7" s="6">
        <v>-291.99870149217168</v>
      </c>
      <c r="E7" s="6">
        <v>-311.06789711002057</v>
      </c>
      <c r="F7" s="6">
        <v>518.27293166712661</v>
      </c>
      <c r="G7" s="6">
        <v>618.42083370572436</v>
      </c>
      <c r="H7" s="6">
        <v>387.11852106024253</v>
      </c>
      <c r="I7" s="6">
        <v>225.14168440230037</v>
      </c>
      <c r="J7" s="6">
        <v>1356.7495127992079</v>
      </c>
      <c r="K7" s="6">
        <v>371.2418422411547</v>
      </c>
      <c r="L7" s="6">
        <v>341.48884795684353</v>
      </c>
      <c r="M7" s="6">
        <v>831.30963512805465</v>
      </c>
      <c r="N7" s="6">
        <f t="shared" si="0"/>
        <v>2596.9467415246836</v>
      </c>
      <c r="O7" s="7">
        <v>2000</v>
      </c>
      <c r="P7" s="6">
        <v>14103.29890940414</v>
      </c>
      <c r="Q7" s="6">
        <v>-149.97280008806047</v>
      </c>
      <c r="R7" s="6">
        <v>-63.421927628210142</v>
      </c>
      <c r="S7" s="6">
        <v>1247.8220805084538</v>
      </c>
      <c r="T7" s="6">
        <v>4033.1398519816466</v>
      </c>
      <c r="U7" s="6">
        <v>706.54004867128606</v>
      </c>
      <c r="V7" s="6">
        <v>986.14073093353545</v>
      </c>
      <c r="W7" s="6">
        <v>3944.2314262318177</v>
      </c>
      <c r="X7" s="6">
        <v>1212.4703117684885</v>
      </c>
      <c r="Y7" s="6">
        <v>1951.6587258631298</v>
      </c>
      <c r="Z7" s="6">
        <v>234.69046116204845</v>
      </c>
      <c r="AA7" s="6">
        <f t="shared" si="1"/>
        <v>9835.4685962604417</v>
      </c>
    </row>
    <row r="8" spans="1:27">
      <c r="A8" s="7">
        <v>2001</v>
      </c>
      <c r="B8" s="11">
        <f>'AMECO Output Gap'!B38/100</f>
        <v>1.9E-2</v>
      </c>
      <c r="C8" s="6">
        <v>7796.9556427737116</v>
      </c>
      <c r="D8" s="6">
        <v>-461.25548557140792</v>
      </c>
      <c r="E8" s="6">
        <v>262.42335242139779</v>
      </c>
      <c r="F8" s="6">
        <v>524.90762569791696</v>
      </c>
      <c r="G8" s="6">
        <v>2465.1184041114793</v>
      </c>
      <c r="H8" s="6">
        <v>57.560054614322326</v>
      </c>
      <c r="I8" s="6">
        <v>611.63523194781419</v>
      </c>
      <c r="J8" s="6">
        <v>1111.3994669401509</v>
      </c>
      <c r="K8" s="6">
        <v>742.84521591253724</v>
      </c>
      <c r="L8" s="6">
        <v>420.85818964169812</v>
      </c>
      <c r="M8" s="6">
        <v>2061.4635870578131</v>
      </c>
      <c r="N8" s="6">
        <f t="shared" si="0"/>
        <v>3270.3736516044296</v>
      </c>
      <c r="O8" s="7">
        <v>2001</v>
      </c>
      <c r="P8" s="6">
        <v>21900.254552177852</v>
      </c>
      <c r="Q8" s="6">
        <v>-611.22828565946838</v>
      </c>
      <c r="R8" s="6">
        <v>199.00142479318765</v>
      </c>
      <c r="S8" s="6">
        <v>1772.7297062063708</v>
      </c>
      <c r="T8" s="6">
        <v>6498.258256093126</v>
      </c>
      <c r="U8" s="6">
        <v>764.10010328560838</v>
      </c>
      <c r="V8" s="6">
        <v>1597.7759628813496</v>
      </c>
      <c r="W8" s="6">
        <v>5055.6308931719686</v>
      </c>
      <c r="X8" s="6">
        <v>1955.3155276810257</v>
      </c>
      <c r="Y8" s="6">
        <v>2372.5169155048279</v>
      </c>
      <c r="Z8" s="6">
        <v>2296.1540482198616</v>
      </c>
      <c r="AA8" s="6">
        <f t="shared" si="1"/>
        <v>13105.84224786487</v>
      </c>
    </row>
    <row r="9" spans="1:27">
      <c r="A9" s="7">
        <v>2002</v>
      </c>
      <c r="B9" s="11">
        <f>'AMECO Output Gap'!B39/100</f>
        <v>-4.0000000000000001E-3</v>
      </c>
      <c r="C9" s="6">
        <v>3421.5118776838353</v>
      </c>
      <c r="D9" s="6">
        <v>-1388.5565602501629</v>
      </c>
      <c r="E9" s="6">
        <v>-207.25103396623672</v>
      </c>
      <c r="F9" s="6">
        <v>430.00395756589296</v>
      </c>
      <c r="G9" s="6">
        <v>-347.17555444644313</v>
      </c>
      <c r="H9" s="6">
        <v>440.22453408201545</v>
      </c>
      <c r="I9" s="6">
        <v>159.81250219741014</v>
      </c>
      <c r="J9" s="6">
        <v>1653.0510057143038</v>
      </c>
      <c r="K9" s="6">
        <v>203.4442988218816</v>
      </c>
      <c r="L9" s="6">
        <v>909.76387465831067</v>
      </c>
      <c r="M9" s="6">
        <v>1568.1948533068717</v>
      </c>
      <c r="N9" s="6">
        <f t="shared" si="0"/>
        <v>2200.492578823415</v>
      </c>
      <c r="O9" s="7">
        <v>2002</v>
      </c>
      <c r="P9" s="6">
        <v>25321.766429861687</v>
      </c>
      <c r="Q9" s="6">
        <v>-1999.7848459096313</v>
      </c>
      <c r="R9" s="6">
        <v>-8.2496091730490662</v>
      </c>
      <c r="S9" s="6">
        <v>2202.7336637722638</v>
      </c>
      <c r="T9" s="6">
        <v>6151.0827016466828</v>
      </c>
      <c r="U9" s="6">
        <v>1204.3246373676238</v>
      </c>
      <c r="V9" s="6">
        <v>1757.5884650787598</v>
      </c>
      <c r="W9" s="6">
        <v>6708.6818988862724</v>
      </c>
      <c r="X9" s="6">
        <v>2158.7598265029073</v>
      </c>
      <c r="Y9" s="6">
        <v>3282.2807901631386</v>
      </c>
      <c r="Z9" s="6">
        <v>3864.3489015267332</v>
      </c>
      <c r="AA9" s="6">
        <f t="shared" si="1"/>
        <v>15306.334826688286</v>
      </c>
    </row>
    <row r="10" spans="1:27">
      <c r="A10" s="7">
        <v>2003</v>
      </c>
      <c r="B10" s="11">
        <f>'AMECO Output Gap'!B40/100</f>
        <v>-2.3E-2</v>
      </c>
      <c r="C10" s="6">
        <v>4953.3784846847702</v>
      </c>
      <c r="D10" s="6">
        <v>-725.63442419703642</v>
      </c>
      <c r="E10" s="6">
        <v>-24.697585801975038</v>
      </c>
      <c r="F10" s="6">
        <v>370.37705839147384</v>
      </c>
      <c r="G10" s="6">
        <v>-90.439499613210501</v>
      </c>
      <c r="H10" s="6">
        <v>281.47297689087463</v>
      </c>
      <c r="I10" s="6">
        <v>470.12864400564922</v>
      </c>
      <c r="J10" s="6">
        <v>1090.3869697952432</v>
      </c>
      <c r="K10" s="6">
        <v>16.275271385096858</v>
      </c>
      <c r="L10" s="6">
        <v>1235.8108199160524</v>
      </c>
      <c r="M10" s="6">
        <v>2329.6982539125893</v>
      </c>
      <c r="N10" s="6">
        <f t="shared" si="0"/>
        <v>2714.1197303853787</v>
      </c>
      <c r="O10" s="7">
        <v>2003</v>
      </c>
      <c r="P10" s="6">
        <v>30275.144914546458</v>
      </c>
      <c r="Q10" s="6">
        <v>-2725.4192701066677</v>
      </c>
      <c r="R10" s="6">
        <v>-32.947194975024104</v>
      </c>
      <c r="S10" s="6">
        <v>2573.1107221637376</v>
      </c>
      <c r="T10" s="6">
        <v>6060.6432020334723</v>
      </c>
      <c r="U10" s="6">
        <v>1485.7976142584985</v>
      </c>
      <c r="V10" s="6">
        <v>2227.717109084409</v>
      </c>
      <c r="W10" s="6">
        <v>7799.0688686815156</v>
      </c>
      <c r="X10" s="6">
        <v>2175.0350978880042</v>
      </c>
      <c r="Y10" s="6">
        <v>4518.091610079191</v>
      </c>
      <c r="Z10" s="6">
        <v>6194.0471554393225</v>
      </c>
      <c r="AA10" s="6">
        <f t="shared" si="1"/>
        <v>18020.454557073663</v>
      </c>
    </row>
    <row r="11" spans="1:27">
      <c r="A11" s="7">
        <v>2004</v>
      </c>
      <c r="B11" s="11">
        <f>'AMECO Output Gap'!B41/100</f>
        <v>-2.1000000000000001E-2</v>
      </c>
      <c r="C11" s="6">
        <v>-186.13405336943106</v>
      </c>
      <c r="D11" s="6">
        <v>-18.451682515718858</v>
      </c>
      <c r="E11" s="6">
        <v>-41.584731342585656</v>
      </c>
      <c r="F11" s="6">
        <v>162.52427240718862</v>
      </c>
      <c r="G11" s="6">
        <v>-949.92976758901568</v>
      </c>
      <c r="H11" s="6">
        <v>85.706728207091146</v>
      </c>
      <c r="I11" s="6">
        <v>-1231.4890401593198</v>
      </c>
      <c r="J11" s="6">
        <v>388.53032330392307</v>
      </c>
      <c r="K11" s="6">
        <v>-28.740819487912631</v>
      </c>
      <c r="L11" s="6">
        <v>588.98066657557865</v>
      </c>
      <c r="M11" s="6">
        <v>858.31999723135232</v>
      </c>
      <c r="N11" s="6">
        <f t="shared" si="0"/>
        <v>-94.524283011755415</v>
      </c>
      <c r="O11" s="7">
        <v>2004</v>
      </c>
      <c r="P11" s="6">
        <v>30089.010861177027</v>
      </c>
      <c r="Q11" s="6">
        <v>-2743.8709526223865</v>
      </c>
      <c r="R11" s="6">
        <v>-74.531926317609759</v>
      </c>
      <c r="S11" s="6">
        <v>2735.6349945709262</v>
      </c>
      <c r="T11" s="6">
        <v>5110.7134344444567</v>
      </c>
      <c r="U11" s="6">
        <v>1571.5043424655896</v>
      </c>
      <c r="V11" s="6">
        <v>996.22806892508925</v>
      </c>
      <c r="W11" s="6">
        <v>8187.5991919854387</v>
      </c>
      <c r="X11" s="6">
        <v>2146.2942784000916</v>
      </c>
      <c r="Y11" s="6">
        <v>5107.0722766547697</v>
      </c>
      <c r="Z11" s="6">
        <v>7052.3671526706748</v>
      </c>
      <c r="AA11" s="6">
        <f t="shared" si="1"/>
        <v>17925.93027406191</v>
      </c>
    </row>
    <row r="12" spans="1:27">
      <c r="A12" s="7">
        <v>2005</v>
      </c>
      <c r="B12" s="11">
        <f>'AMECO Output Gap'!B42/100</f>
        <v>-1.6E-2</v>
      </c>
      <c r="C12" s="6">
        <v>252.32850337339914</v>
      </c>
      <c r="D12" s="6">
        <v>222.34564638960001</v>
      </c>
      <c r="E12" s="6">
        <v>-513.85436586029573</v>
      </c>
      <c r="F12" s="6">
        <v>82.674196120859961</v>
      </c>
      <c r="G12" s="6">
        <v>-433.26013233124468</v>
      </c>
      <c r="H12" s="6">
        <v>14.352526775016486</v>
      </c>
      <c r="I12" s="6">
        <v>-451.36601047004274</v>
      </c>
      <c r="J12" s="6">
        <v>595.43756273488907</v>
      </c>
      <c r="K12" s="6">
        <v>33.436379777736875</v>
      </c>
      <c r="L12" s="6">
        <v>789.48472939428393</v>
      </c>
      <c r="M12" s="6">
        <v>-86.92202915740927</v>
      </c>
      <c r="N12" s="6">
        <f t="shared" si="0"/>
        <v>772.51066486204786</v>
      </c>
      <c r="O12" s="7">
        <v>2005</v>
      </c>
      <c r="P12" s="6">
        <v>30341.339364550426</v>
      </c>
      <c r="Q12" s="6">
        <v>-2521.5253062327865</v>
      </c>
      <c r="R12" s="6">
        <v>-588.38629217790549</v>
      </c>
      <c r="S12" s="6">
        <v>2818.3091906917862</v>
      </c>
      <c r="T12" s="6">
        <v>4677.453302113212</v>
      </c>
      <c r="U12" s="6">
        <v>1585.8568692406061</v>
      </c>
      <c r="V12" s="6">
        <v>544.86205845504651</v>
      </c>
      <c r="W12" s="6">
        <v>8783.0367547203277</v>
      </c>
      <c r="X12" s="6">
        <v>2179.7306581778284</v>
      </c>
      <c r="Y12" s="6">
        <v>5896.5570060490536</v>
      </c>
      <c r="Z12" s="6">
        <v>6965.4451235132656</v>
      </c>
      <c r="AA12" s="6">
        <f t="shared" si="1"/>
        <v>18698.440938923955</v>
      </c>
    </row>
    <row r="13" spans="1:27">
      <c r="A13" s="7">
        <v>2006</v>
      </c>
      <c r="B13" s="11">
        <f>'AMECO Output Gap'!B43/100</f>
        <v>0</v>
      </c>
      <c r="C13" s="6">
        <v>11999.255668054946</v>
      </c>
      <c r="D13" s="6">
        <v>492.20819381409456</v>
      </c>
      <c r="E13" s="6">
        <v>474.29874735019803</v>
      </c>
      <c r="F13" s="6">
        <v>529.35328279912119</v>
      </c>
      <c r="G13" s="6">
        <v>454.55659846318667</v>
      </c>
      <c r="H13" s="6">
        <v>309.05781178726193</v>
      </c>
      <c r="I13" s="6">
        <v>226.64806611984363</v>
      </c>
      <c r="J13" s="6">
        <v>6853.6110995191375</v>
      </c>
      <c r="K13" s="6">
        <v>261.19102698090774</v>
      </c>
      <c r="L13" s="6">
        <v>1149.1082857563524</v>
      </c>
      <c r="M13" s="6">
        <v>1249.2225554648321</v>
      </c>
      <c r="N13" s="6">
        <f t="shared" si="0"/>
        <v>10295.476514126916</v>
      </c>
      <c r="O13" s="7">
        <v>2006</v>
      </c>
      <c r="P13" s="6">
        <v>42340.595032605372</v>
      </c>
      <c r="Q13" s="6">
        <v>-2029.317112418692</v>
      </c>
      <c r="R13" s="6">
        <v>-114.08754482770746</v>
      </c>
      <c r="S13" s="6">
        <v>3347.6624734909074</v>
      </c>
      <c r="T13" s="6">
        <v>5132.0099005763986</v>
      </c>
      <c r="U13" s="6">
        <v>1894.914681027868</v>
      </c>
      <c r="V13" s="6">
        <v>771.51012457489014</v>
      </c>
      <c r="W13" s="6">
        <v>15636.647854239465</v>
      </c>
      <c r="X13" s="6">
        <v>2440.9216851587362</v>
      </c>
      <c r="Y13" s="6">
        <v>7045.665291805406</v>
      </c>
      <c r="Z13" s="6">
        <v>8214.6676789780977</v>
      </c>
      <c r="AA13" s="6">
        <f t="shared" si="1"/>
        <v>28993.917453050875</v>
      </c>
    </row>
    <row r="14" spans="1:27">
      <c r="A14" s="7">
        <v>2007</v>
      </c>
      <c r="B14" s="11">
        <f>'AMECO Output Gap'!B44/100</f>
        <v>1.8000000000000002E-2</v>
      </c>
      <c r="C14" s="6">
        <v>5285.4823994698818</v>
      </c>
      <c r="D14" s="6">
        <v>-184.64921651148325</v>
      </c>
      <c r="E14" s="6">
        <v>261.80701323213998</v>
      </c>
      <c r="F14" s="6">
        <v>578.36158778095341</v>
      </c>
      <c r="G14" s="6">
        <v>332.3213541403602</v>
      </c>
      <c r="H14" s="6">
        <v>239.00822708683791</v>
      </c>
      <c r="I14" s="6">
        <v>130.41210420792595</v>
      </c>
      <c r="J14" s="6">
        <v>1651.1958964269288</v>
      </c>
      <c r="K14" s="6">
        <v>-100.60035811383295</v>
      </c>
      <c r="L14" s="6">
        <v>758.28343693967327</v>
      </c>
      <c r="M14" s="6">
        <v>1619.3423542803939</v>
      </c>
      <c r="N14" s="6">
        <f t="shared" si="0"/>
        <v>3333.8186910491431</v>
      </c>
      <c r="O14" s="7">
        <v>2007</v>
      </c>
      <c r="P14" s="6">
        <v>47626.077432075253</v>
      </c>
      <c r="Q14" s="6">
        <v>-2213.9663289301752</v>
      </c>
      <c r="R14" s="6">
        <v>147.71946840443252</v>
      </c>
      <c r="S14" s="6">
        <v>3926.0240612718608</v>
      </c>
      <c r="T14" s="6">
        <v>5464.3312547167588</v>
      </c>
      <c r="U14" s="6">
        <v>2133.9229081147059</v>
      </c>
      <c r="V14" s="6">
        <v>901.92222878281609</v>
      </c>
      <c r="W14" s="6">
        <v>17287.843750666394</v>
      </c>
      <c r="X14" s="6">
        <v>2340.3213270449032</v>
      </c>
      <c r="Y14" s="6">
        <v>7803.9487287450793</v>
      </c>
      <c r="Z14" s="6">
        <v>9834.0100332584916</v>
      </c>
      <c r="AA14" s="6">
        <f t="shared" si="1"/>
        <v>32327.736144100014</v>
      </c>
    </row>
    <row r="15" spans="1:27">
      <c r="A15" s="7">
        <v>2008</v>
      </c>
      <c r="B15" s="11">
        <f>'AMECO Output Gap'!B45/100</f>
        <v>2.2000000000000002E-2</v>
      </c>
      <c r="C15" s="6">
        <v>8267.0748936283926</v>
      </c>
      <c r="D15" s="6">
        <v>1527.4646628691335</v>
      </c>
      <c r="E15" s="6">
        <v>25.093808860807258</v>
      </c>
      <c r="F15" s="6">
        <v>280.86399505772897</v>
      </c>
      <c r="G15" s="6">
        <v>1122.1096722633956</v>
      </c>
      <c r="H15" s="6">
        <v>232.76218558258006</v>
      </c>
      <c r="I15" s="6">
        <v>440.53045447912837</v>
      </c>
      <c r="J15" s="6">
        <v>-85.811850917511038</v>
      </c>
      <c r="K15" s="6">
        <v>640.15378381138635</v>
      </c>
      <c r="L15" s="6">
        <v>1018.8390546796109</v>
      </c>
      <c r="M15" s="6">
        <v>3065.0691269421368</v>
      </c>
      <c r="N15" s="6">
        <f t="shared" si="0"/>
        <v>4079.8960944228643</v>
      </c>
      <c r="O15" s="7">
        <v>2008</v>
      </c>
      <c r="P15" s="6">
        <v>55893.152325703646</v>
      </c>
      <c r="Q15" s="6">
        <v>-686.50166606104176</v>
      </c>
      <c r="R15" s="6">
        <v>172.81327726523978</v>
      </c>
      <c r="S15" s="6">
        <v>4206.8880563295897</v>
      </c>
      <c r="T15" s="6">
        <v>6586.4409269801545</v>
      </c>
      <c r="U15" s="6">
        <v>2366.685093697286</v>
      </c>
      <c r="V15" s="6">
        <v>1342.4526832619445</v>
      </c>
      <c r="W15" s="6">
        <v>17202.031899748883</v>
      </c>
      <c r="X15" s="6">
        <v>2980.4751108562896</v>
      </c>
      <c r="Y15" s="6">
        <v>8822.7877834246901</v>
      </c>
      <c r="Z15" s="6">
        <v>12899.079160200628</v>
      </c>
      <c r="AA15" s="6">
        <f t="shared" si="1"/>
        <v>36407.632238522878</v>
      </c>
    </row>
    <row r="16" spans="1:27">
      <c r="A16" s="7">
        <v>2009</v>
      </c>
      <c r="B16" s="11">
        <f>'AMECO Output Gap'!B46/100</f>
        <v>-2.6000000000000002E-2</v>
      </c>
      <c r="C16" s="6">
        <v>11415.061059712432</v>
      </c>
      <c r="D16" s="6">
        <v>-2007.1747246853192</v>
      </c>
      <c r="E16" s="6">
        <v>273.52839592209511</v>
      </c>
      <c r="F16" s="6">
        <v>437.55707124214132</v>
      </c>
      <c r="G16" s="6">
        <v>3220.0187793245932</v>
      </c>
      <c r="H16" s="6">
        <v>433.11975040052585</v>
      </c>
      <c r="I16" s="6">
        <v>783.37995917119497</v>
      </c>
      <c r="J16" s="6">
        <v>2624.5917917593579</v>
      </c>
      <c r="K16" s="6">
        <v>330.91730218486555</v>
      </c>
      <c r="L16" s="6">
        <v>774.9559944299217</v>
      </c>
      <c r="M16" s="6">
        <v>4544.1667399630533</v>
      </c>
      <c r="N16" s="6">
        <f t="shared" si="0"/>
        <v>3650.8755404247831</v>
      </c>
      <c r="O16" s="7">
        <v>2009</v>
      </c>
      <c r="P16" s="6">
        <v>67308.213385416078</v>
      </c>
      <c r="Q16" s="6">
        <v>-2693.676390746361</v>
      </c>
      <c r="R16" s="6">
        <v>446.34167318733489</v>
      </c>
      <c r="S16" s="6">
        <v>4644.4451275717311</v>
      </c>
      <c r="T16" s="6">
        <v>9806.4597063047477</v>
      </c>
      <c r="U16" s="6">
        <v>2799.8048440978118</v>
      </c>
      <c r="V16" s="6">
        <v>2125.8326424331394</v>
      </c>
      <c r="W16" s="6">
        <v>19826.623691508241</v>
      </c>
      <c r="X16" s="6">
        <v>3311.3924130411551</v>
      </c>
      <c r="Y16" s="6">
        <v>9597.7437778546118</v>
      </c>
      <c r="Z16" s="6">
        <v>17443.245900163682</v>
      </c>
      <c r="AA16" s="6">
        <f t="shared" si="1"/>
        <v>40058.507778947664</v>
      </c>
    </row>
    <row r="17" spans="1:27">
      <c r="A17" s="7">
        <v>2010</v>
      </c>
      <c r="B17" s="11">
        <f>'AMECO Output Gap'!B47/100</f>
        <v>-1.9E-2</v>
      </c>
      <c r="C17" s="6">
        <v>3892.9547469897952</v>
      </c>
      <c r="D17" s="6">
        <v>1113.6998862231267</v>
      </c>
      <c r="E17" s="6">
        <v>-363.0634619601924</v>
      </c>
      <c r="F17" s="6">
        <v>-196.70373942881997</v>
      </c>
      <c r="G17" s="6">
        <v>-651.12444745546964</v>
      </c>
      <c r="H17" s="6">
        <v>-415.5295336108984</v>
      </c>
      <c r="I17" s="6">
        <v>-344.73048139746197</v>
      </c>
      <c r="J17" s="6">
        <v>1998.2123036359189</v>
      </c>
      <c r="K17" s="6">
        <v>-122.33484586133727</v>
      </c>
      <c r="L17" s="6">
        <v>282.24619989566054</v>
      </c>
      <c r="M17" s="6">
        <v>2592.2828669492446</v>
      </c>
      <c r="N17" s="6">
        <f t="shared" si="0"/>
        <v>1951.7963274959961</v>
      </c>
      <c r="O17" s="7">
        <v>2010</v>
      </c>
      <c r="P17" s="6">
        <v>71201.168132405874</v>
      </c>
      <c r="Q17" s="6">
        <v>-1579.9765045232343</v>
      </c>
      <c r="R17" s="6">
        <v>83.278211227142492</v>
      </c>
      <c r="S17" s="6">
        <v>4447.7413881429111</v>
      </c>
      <c r="T17" s="6">
        <v>9155.335258849278</v>
      </c>
      <c r="U17" s="6">
        <v>2384.2753104869134</v>
      </c>
      <c r="V17" s="6">
        <v>1781.1021610356775</v>
      </c>
      <c r="W17" s="6">
        <v>21824.83599514416</v>
      </c>
      <c r="X17" s="6">
        <v>3189.0575671798179</v>
      </c>
      <c r="Y17" s="6">
        <v>9879.9899777502724</v>
      </c>
      <c r="Z17" s="6">
        <v>20035.528767112926</v>
      </c>
      <c r="AA17" s="6">
        <f t="shared" si="1"/>
        <v>42010.304106443662</v>
      </c>
    </row>
    <row r="18" spans="1:27">
      <c r="A18" s="7">
        <v>2011</v>
      </c>
      <c r="B18" s="11">
        <f>'AMECO Output Gap'!B48/100</f>
        <v>-1.2E-2</v>
      </c>
      <c r="C18" s="6">
        <v>-5734.8878870204499</v>
      </c>
      <c r="D18" s="6">
        <v>-1739.5989716257391</v>
      </c>
      <c r="E18" s="6">
        <v>-140.70086007892769</v>
      </c>
      <c r="F18" s="6">
        <v>-247.73453531470477</v>
      </c>
      <c r="G18" s="6">
        <v>-1765.962685523602</v>
      </c>
      <c r="H18" s="6">
        <v>-234.07002290385299</v>
      </c>
      <c r="I18" s="6">
        <v>-635.10451346646823</v>
      </c>
      <c r="J18" s="6">
        <v>419.99748737768095</v>
      </c>
      <c r="K18" s="6">
        <v>-347.86087460653653</v>
      </c>
      <c r="L18" s="6">
        <v>-717.59926997301227</v>
      </c>
      <c r="M18" s="6">
        <v>-326.25364090527</v>
      </c>
      <c r="N18" s="6">
        <f t="shared" si="0"/>
        <v>-3642.6715605915606</v>
      </c>
      <c r="O18" s="7">
        <v>2011</v>
      </c>
      <c r="P18" s="6">
        <v>65466.280245385424</v>
      </c>
      <c r="Q18" s="6">
        <v>-3319.5754761489734</v>
      </c>
      <c r="R18" s="6">
        <v>-57.422648851785198</v>
      </c>
      <c r="S18" s="6">
        <v>4200.0068528282063</v>
      </c>
      <c r="T18" s="6">
        <v>7389.3725733256761</v>
      </c>
      <c r="U18" s="6">
        <v>2150.2052875830605</v>
      </c>
      <c r="V18" s="6">
        <v>1145.9976475692092</v>
      </c>
      <c r="W18" s="6">
        <v>22244.833482521841</v>
      </c>
      <c r="X18" s="6">
        <v>2841.1966925732813</v>
      </c>
      <c r="Y18" s="6">
        <v>9162.3907077772601</v>
      </c>
      <c r="Z18" s="6">
        <v>19709.275126207656</v>
      </c>
      <c r="AA18" s="6">
        <f t="shared" si="1"/>
        <v>38367.632545852102</v>
      </c>
    </row>
    <row r="19" spans="1:27">
      <c r="A19" s="7">
        <v>2012</v>
      </c>
      <c r="B19" s="11">
        <f>'AMECO Output Gap'!B49/100</f>
        <v>-2.6000000000000002E-2</v>
      </c>
      <c r="C19" s="6">
        <v>-4221.1130924998724</v>
      </c>
      <c r="D19" s="6">
        <v>-975.74666083071497</v>
      </c>
      <c r="E19" s="6">
        <v>-562.55912879457264</v>
      </c>
      <c r="F19" s="6">
        <v>-47.270716020364489</v>
      </c>
      <c r="G19" s="6">
        <v>-1824.8329868824112</v>
      </c>
      <c r="H19" s="6">
        <v>-312.95795451461254</v>
      </c>
      <c r="I19" s="6">
        <v>112.54782313366422</v>
      </c>
      <c r="J19" s="6">
        <v>528.55071405097988</v>
      </c>
      <c r="K19" s="6">
        <v>-368.41352109322634</v>
      </c>
      <c r="L19" s="6">
        <v>-369.85901878743243</v>
      </c>
      <c r="M19" s="6">
        <v>-400.57164276117692</v>
      </c>
      <c r="N19" s="6">
        <f t="shared" si="0"/>
        <v>-1995.7084628562793</v>
      </c>
      <c r="O19" s="7">
        <v>2012</v>
      </c>
      <c r="P19" s="6">
        <v>61245.167152885551</v>
      </c>
      <c r="Q19" s="6">
        <v>-4295.3221369796884</v>
      </c>
      <c r="R19" s="6">
        <v>-619.98177764635784</v>
      </c>
      <c r="S19" s="6">
        <v>4152.7361368078418</v>
      </c>
      <c r="T19" s="6">
        <v>5564.5395864432649</v>
      </c>
      <c r="U19" s="6">
        <v>1837.2473330684479</v>
      </c>
      <c r="V19" s="6">
        <v>1258.5454707028734</v>
      </c>
      <c r="W19" s="6">
        <v>22773.384196572821</v>
      </c>
      <c r="X19" s="6">
        <v>2472.783171480055</v>
      </c>
      <c r="Y19" s="6">
        <v>8792.5316889898277</v>
      </c>
      <c r="Z19" s="6">
        <v>19308.703483446479</v>
      </c>
      <c r="AA19" s="6">
        <f t="shared" si="1"/>
        <v>36371.924082995822</v>
      </c>
    </row>
    <row r="20" spans="1:27">
      <c r="A20" s="7">
        <v>2013</v>
      </c>
      <c r="B20" s="11">
        <f>'AMECO Output Gap'!B50/100</f>
        <v>-3.1E-2</v>
      </c>
      <c r="C20" s="6">
        <v>-1152.1763545628928</v>
      </c>
      <c r="D20" s="6">
        <v>-404.12546281168397</v>
      </c>
      <c r="E20" s="6">
        <v>-47.82416903745343</v>
      </c>
      <c r="F20" s="6">
        <v>176.89100632352893</v>
      </c>
      <c r="G20" s="6">
        <v>-440.06877395382253</v>
      </c>
      <c r="H20" s="6">
        <v>-62.401985131761649</v>
      </c>
      <c r="I20" s="6">
        <v>17.179367927888961</v>
      </c>
      <c r="J20" s="6">
        <v>-497.82695795187465</v>
      </c>
      <c r="K20" s="6">
        <v>-199.34330431644958</v>
      </c>
      <c r="L20" s="6">
        <v>-511.25851496032192</v>
      </c>
      <c r="M20" s="6">
        <v>816.60243934905156</v>
      </c>
      <c r="N20" s="6">
        <f t="shared" si="0"/>
        <v>-1528.7100199581273</v>
      </c>
      <c r="O20" s="7">
        <v>2013</v>
      </c>
      <c r="P20" s="6">
        <v>60092.990798322659</v>
      </c>
      <c r="Q20" s="6">
        <v>-4699.4475997913723</v>
      </c>
      <c r="R20" s="6">
        <v>-667.80594668381127</v>
      </c>
      <c r="S20" s="6">
        <v>4329.6271431313708</v>
      </c>
      <c r="T20" s="6">
        <v>5124.4708124894423</v>
      </c>
      <c r="U20" s="6">
        <v>1774.8453479366863</v>
      </c>
      <c r="V20" s="6">
        <v>1275.7248386307624</v>
      </c>
      <c r="W20" s="6">
        <v>22275.557238620946</v>
      </c>
      <c r="X20" s="6">
        <v>2273.4398671636054</v>
      </c>
      <c r="Y20" s="6">
        <v>8281.2731740295058</v>
      </c>
      <c r="Z20" s="6">
        <v>20125.305922795531</v>
      </c>
      <c r="AA20" s="6">
        <f t="shared" si="1"/>
        <v>34843.214063037689</v>
      </c>
    </row>
    <row r="21" spans="1:27">
      <c r="A21" s="7">
        <v>2014</v>
      </c>
      <c r="B21" s="11">
        <f>'AMECO Output Gap'!B51/100</f>
        <v>-2.2000000000000002E-2</v>
      </c>
      <c r="C21" s="6">
        <v>-1192.4819813629147</v>
      </c>
      <c r="D21" s="6">
        <v>398.63845600366403</v>
      </c>
      <c r="E21" s="6">
        <v>-178.69141902873707</v>
      </c>
      <c r="F21" s="6">
        <v>-342.10715382726266</v>
      </c>
      <c r="G21" s="6">
        <v>-647.85312119509035</v>
      </c>
      <c r="H21" s="6">
        <v>-439.70714817558292</v>
      </c>
      <c r="I21" s="6">
        <v>-208.36313678667966</v>
      </c>
      <c r="J21" s="6">
        <v>70.565854243584909</v>
      </c>
      <c r="K21" s="6">
        <v>-374.26251036548274</v>
      </c>
      <c r="L21" s="6">
        <v>362.43808068827275</v>
      </c>
      <c r="M21" s="6">
        <v>166.86011708040314</v>
      </c>
      <c r="N21" s="6">
        <f t="shared" si="0"/>
        <v>-711.48897724822336</v>
      </c>
      <c r="O21" s="7">
        <v>2014</v>
      </c>
      <c r="P21" s="6">
        <v>58900.508816959744</v>
      </c>
      <c r="Q21" s="6">
        <v>-4300.8091437877083</v>
      </c>
      <c r="R21" s="6">
        <v>-846.49736571254834</v>
      </c>
      <c r="S21" s="6">
        <v>3987.5199893041081</v>
      </c>
      <c r="T21" s="6">
        <v>4476.617691294352</v>
      </c>
      <c r="U21" s="6">
        <v>1335.1381997611034</v>
      </c>
      <c r="V21" s="6">
        <v>1067.3617018440827</v>
      </c>
      <c r="W21" s="6">
        <v>22346.123092864531</v>
      </c>
      <c r="X21" s="6">
        <v>1899.1773567981227</v>
      </c>
      <c r="Y21" s="6">
        <v>8643.7112547177785</v>
      </c>
      <c r="Z21" s="6">
        <v>20292.166039875934</v>
      </c>
      <c r="AA21" s="6">
        <f t="shared" si="1"/>
        <v>34131.725085789476</v>
      </c>
    </row>
    <row r="22" spans="1:27">
      <c r="A22" s="7">
        <v>2015</v>
      </c>
      <c r="B22" s="11">
        <f>'AMECO Output Gap'!B52/100</f>
        <v>-1.7000000000000001E-2</v>
      </c>
      <c r="C22" s="6">
        <v>-1074.566774062987</v>
      </c>
      <c r="D22" s="6">
        <v>-659.20807560309913</v>
      </c>
      <c r="E22" s="6">
        <v>262.281423695782</v>
      </c>
      <c r="F22" s="6">
        <v>286.69337182890195</v>
      </c>
      <c r="G22" s="6">
        <v>-1383.9865071301465</v>
      </c>
      <c r="H22" s="6">
        <v>-196.11273570974936</v>
      </c>
      <c r="I22" s="6">
        <v>-97.846096873056013</v>
      </c>
      <c r="J22" s="6">
        <v>-324.37803461926524</v>
      </c>
      <c r="K22" s="6">
        <v>274.74724482930469</v>
      </c>
      <c r="L22" s="6">
        <v>-77.64640645702093</v>
      </c>
      <c r="M22" s="6">
        <v>840.8890419753443</v>
      </c>
      <c r="N22" s="6">
        <f t="shared" si="0"/>
        <v>-531.46930890820204</v>
      </c>
      <c r="O22" s="7">
        <v>2015</v>
      </c>
      <c r="P22" s="6">
        <v>57825.942042896757</v>
      </c>
      <c r="Q22" s="6">
        <v>-4960.0172193908074</v>
      </c>
      <c r="R22" s="6">
        <v>-584.21594201676635</v>
      </c>
      <c r="S22" s="6">
        <v>4274.21336113301</v>
      </c>
      <c r="T22" s="6">
        <v>3092.6311841642055</v>
      </c>
      <c r="U22" s="6">
        <v>1139.025464051354</v>
      </c>
      <c r="V22" s="6">
        <v>969.51560497102673</v>
      </c>
      <c r="W22" s="6">
        <v>22021.745058245266</v>
      </c>
      <c r="X22" s="6">
        <v>2173.9246016274274</v>
      </c>
      <c r="Y22" s="6">
        <v>8566.0648482607576</v>
      </c>
      <c r="Z22" s="6">
        <v>21133.055081851278</v>
      </c>
      <c r="AA22" s="6">
        <f t="shared" si="1"/>
        <v>33600.255776881269</v>
      </c>
    </row>
    <row r="23" spans="1:27">
      <c r="A23" s="7">
        <v>2016</v>
      </c>
      <c r="B23" s="11">
        <f>'AMECO Output Gap'!B53/100</f>
        <v>-8.0000000000000002E-3</v>
      </c>
      <c r="C23" s="6">
        <v>-836.11046777642332</v>
      </c>
      <c r="D23" s="6">
        <v>-2340.1112090602583</v>
      </c>
      <c r="E23" s="6">
        <v>193.53609167560353</v>
      </c>
      <c r="F23" s="6">
        <v>185.37811821891773</v>
      </c>
      <c r="G23" s="6">
        <v>186.85072582935027</v>
      </c>
      <c r="H23" s="6">
        <v>326.59164338049413</v>
      </c>
      <c r="I23" s="6">
        <v>-233.07833306686166</v>
      </c>
      <c r="J23" s="6">
        <v>-1414.5221031176698</v>
      </c>
      <c r="K23" s="6">
        <v>103.86110582805486</v>
      </c>
      <c r="L23" s="6">
        <v>469.91386082867757</v>
      </c>
      <c r="M23" s="6">
        <v>1685.4696317072812</v>
      </c>
      <c r="N23" s="6">
        <f t="shared" si="0"/>
        <v>-2708.4308253130421</v>
      </c>
      <c r="O23" s="7">
        <v>2016</v>
      </c>
      <c r="P23" s="6">
        <v>56989.831575120334</v>
      </c>
      <c r="Q23" s="6">
        <v>-7300.1284284510657</v>
      </c>
      <c r="R23" s="6">
        <v>-390.67985034116282</v>
      </c>
      <c r="S23" s="6">
        <v>4459.5914793519278</v>
      </c>
      <c r="T23" s="6">
        <v>3279.4819099935557</v>
      </c>
      <c r="U23" s="6">
        <v>1465.6171074318481</v>
      </c>
      <c r="V23" s="6">
        <v>736.43727190416507</v>
      </c>
      <c r="W23" s="6">
        <v>20607.222955127596</v>
      </c>
      <c r="X23" s="6">
        <v>2277.7857074554822</v>
      </c>
      <c r="Y23" s="6">
        <v>9035.9787090894351</v>
      </c>
      <c r="Z23" s="6">
        <v>22818.52471355856</v>
      </c>
      <c r="AA23" s="6">
        <f t="shared" si="1"/>
        <v>30891.824951568226</v>
      </c>
    </row>
    <row r="24" spans="1:27">
      <c r="A24" s="7">
        <v>2017</v>
      </c>
      <c r="B24" s="11">
        <f>'AMECO Output Gap'!B54/100</f>
        <v>6.0000000000000001E-3</v>
      </c>
      <c r="C24" s="6">
        <v>-57.37699442030862</v>
      </c>
      <c r="D24" s="6">
        <v>-785.14464550668708</v>
      </c>
      <c r="E24" s="6">
        <v>271.48815975271009</v>
      </c>
      <c r="F24" s="6">
        <v>-186.76131674174576</v>
      </c>
      <c r="G24" s="6">
        <v>-101.74267388102453</v>
      </c>
      <c r="H24" s="6">
        <v>5.6625307249742036</v>
      </c>
      <c r="I24" s="6">
        <v>-167.71095512200918</v>
      </c>
      <c r="J24" s="6">
        <v>1157.1625599492691</v>
      </c>
      <c r="K24" s="6">
        <v>37.712105006387901</v>
      </c>
      <c r="L24" s="6">
        <v>-37.175569798771903</v>
      </c>
      <c r="M24" s="6">
        <v>-250.86718880341505</v>
      </c>
      <c r="N24" s="6">
        <f t="shared" si="0"/>
        <v>295.23286826412732</v>
      </c>
      <c r="O24" s="7">
        <v>2017</v>
      </c>
      <c r="P24" s="6">
        <v>56932.454580700025</v>
      </c>
      <c r="Q24" s="6">
        <v>-8085.2730739577528</v>
      </c>
      <c r="R24" s="6">
        <v>-119.19169058845273</v>
      </c>
      <c r="S24" s="6">
        <v>4272.830162610182</v>
      </c>
      <c r="T24" s="6">
        <v>3177.7392361125312</v>
      </c>
      <c r="U24" s="6">
        <v>1471.2796381568223</v>
      </c>
      <c r="V24" s="6">
        <v>568.72631678215589</v>
      </c>
      <c r="W24" s="6">
        <v>21764.385515076865</v>
      </c>
      <c r="X24" s="6">
        <v>2315.4978124618701</v>
      </c>
      <c r="Y24" s="6">
        <v>8998.8031392906632</v>
      </c>
      <c r="Z24" s="6">
        <v>22567.657524755145</v>
      </c>
      <c r="AA24" s="6">
        <f t="shared" si="1"/>
        <v>31187.057819832353</v>
      </c>
    </row>
    <row r="25" spans="1:27">
      <c r="A25" s="7">
        <v>2018</v>
      </c>
      <c r="B25" s="11">
        <f>'AMECO Output Gap'!B55/100</f>
        <v>1.3000000000000001E-2</v>
      </c>
      <c r="C25" s="6">
        <v>6260.1874437604856</v>
      </c>
      <c r="D25" s="6">
        <v>752.32371483678799</v>
      </c>
      <c r="E25" s="6">
        <v>280.85261446076674</v>
      </c>
      <c r="F25" s="6">
        <v>510.23001569427106</v>
      </c>
      <c r="G25" s="6">
        <v>747.52311014071893</v>
      </c>
      <c r="H25" s="6">
        <v>355.65452288247252</v>
      </c>
      <c r="I25" s="6">
        <v>441.25248733476087</v>
      </c>
      <c r="J25" s="6">
        <v>1532.9524315058807</v>
      </c>
      <c r="K25" s="6">
        <v>333.87277367447132</v>
      </c>
      <c r="L25" s="6">
        <v>505.36045203571484</v>
      </c>
      <c r="M25" s="6">
        <v>800.1653211946541</v>
      </c>
      <c r="N25" s="6">
        <f t="shared" si="0"/>
        <v>4712.4990124251262</v>
      </c>
      <c r="O25" s="7">
        <v>2018</v>
      </c>
      <c r="P25" s="6">
        <v>63192.642024460511</v>
      </c>
      <c r="Q25" s="6">
        <v>-7332.9493591209648</v>
      </c>
      <c r="R25" s="6">
        <v>161.66092387231402</v>
      </c>
      <c r="S25" s="6">
        <v>4783.0601783044531</v>
      </c>
      <c r="T25" s="6">
        <v>3925.2623462532501</v>
      </c>
      <c r="U25" s="6">
        <v>1826.9341610392948</v>
      </c>
      <c r="V25" s="6">
        <v>1009.9788041169168</v>
      </c>
      <c r="W25" s="6">
        <v>23297.337946582746</v>
      </c>
      <c r="X25" s="6">
        <v>2649.3705861363414</v>
      </c>
      <c r="Y25" s="6">
        <v>9504.1635913263781</v>
      </c>
      <c r="Z25" s="6">
        <v>23367.822845949799</v>
      </c>
      <c r="AA25" s="6">
        <f t="shared" si="1"/>
        <v>35899.556832257476</v>
      </c>
    </row>
    <row r="26" spans="1:27">
      <c r="A26" s="7">
        <v>2019</v>
      </c>
      <c r="B26" s="11">
        <f>'AMECO Output Gap'!B56/100</f>
        <v>1.3999999999999999E-2</v>
      </c>
      <c r="C26" s="6">
        <v>6538.1115891134832</v>
      </c>
      <c r="D26" s="6">
        <v>335.00021720830409</v>
      </c>
      <c r="E26" s="6">
        <v>509.58000124625687</v>
      </c>
      <c r="F26" s="6">
        <v>378.33973474221966</v>
      </c>
      <c r="G26" s="6">
        <v>881.22641452377502</v>
      </c>
      <c r="H26" s="6">
        <v>187.05275204042573</v>
      </c>
      <c r="I26" s="6">
        <v>80.732316543419984</v>
      </c>
      <c r="J26" s="6">
        <v>1351.1215979438348</v>
      </c>
      <c r="K26" s="6">
        <v>-73.156646149284825</v>
      </c>
      <c r="L26" s="6">
        <v>505.6485885606744</v>
      </c>
      <c r="M26" s="6">
        <v>2382.5666124538548</v>
      </c>
      <c r="N26" s="6">
        <f t="shared" si="0"/>
        <v>3274.3185621358507</v>
      </c>
      <c r="O26" s="7">
        <v>2019</v>
      </c>
      <c r="P26" s="6">
        <v>69730.753613573994</v>
      </c>
      <c r="Q26" s="6">
        <v>-6997.9491419126607</v>
      </c>
      <c r="R26" s="6">
        <v>671.24092511857089</v>
      </c>
      <c r="S26" s="6">
        <v>5161.3999130466727</v>
      </c>
      <c r="T26" s="6">
        <v>4806.4887607770252</v>
      </c>
      <c r="U26" s="6">
        <v>2013.9869130797206</v>
      </c>
      <c r="V26" s="6">
        <v>1090.7111206603367</v>
      </c>
      <c r="W26" s="6">
        <v>24648.45954452658</v>
      </c>
      <c r="X26" s="6">
        <v>2576.2139399870566</v>
      </c>
      <c r="Y26" s="6">
        <v>10009.812179887052</v>
      </c>
      <c r="Z26" s="6">
        <v>25750.389458403653</v>
      </c>
      <c r="AA26" s="6">
        <f t="shared" si="1"/>
        <v>39173.875394393326</v>
      </c>
    </row>
    <row r="27" spans="1:27">
      <c r="A27" s="7">
        <v>2020</v>
      </c>
      <c r="B27" s="11">
        <f>'AMECO Output Gap'!B57/100</f>
        <v>-0.04</v>
      </c>
      <c r="C27" s="6">
        <v>22176.404669620271</v>
      </c>
      <c r="D27" s="6">
        <v>273.63558038867995</v>
      </c>
      <c r="E27" s="6">
        <v>385.64201461276298</v>
      </c>
      <c r="F27" s="6">
        <v>553.86447843187125</v>
      </c>
      <c r="G27" s="6">
        <v>11762.795979723029</v>
      </c>
      <c r="H27" s="6">
        <v>386.1114918479434</v>
      </c>
      <c r="I27" s="6">
        <v>55.705279635870284</v>
      </c>
      <c r="J27" s="6">
        <v>3777.7156410583993</v>
      </c>
      <c r="K27" s="6">
        <v>192.0961550916245</v>
      </c>
      <c r="L27" s="6">
        <v>435.64134015951277</v>
      </c>
      <c r="M27" s="6">
        <v>4353.1967086705699</v>
      </c>
      <c r="N27" s="6">
        <f t="shared" si="0"/>
        <v>6060.4119812266645</v>
      </c>
      <c r="O27" s="7">
        <v>2020</v>
      </c>
      <c r="P27" s="6">
        <v>91907.158283194265</v>
      </c>
      <c r="Q27" s="6">
        <v>-6724.3135615239808</v>
      </c>
      <c r="R27" s="6">
        <v>1056.8829397313339</v>
      </c>
      <c r="S27" s="6">
        <v>5715.264391478544</v>
      </c>
      <c r="T27" s="6">
        <v>16569.284740500054</v>
      </c>
      <c r="U27" s="6">
        <v>2400.098404927664</v>
      </c>
      <c r="V27" s="6">
        <v>1146.416400296207</v>
      </c>
      <c r="W27" s="6">
        <v>28426.17518558498</v>
      </c>
      <c r="X27" s="6">
        <v>2768.3100950786811</v>
      </c>
      <c r="Y27" s="6">
        <v>10445.453520046565</v>
      </c>
      <c r="Z27" s="6">
        <v>30103.586167074223</v>
      </c>
      <c r="AA27" s="6">
        <f t="shared" si="1"/>
        <v>45234.287375619999</v>
      </c>
    </row>
    <row r="28" spans="1:27">
      <c r="A28" s="7">
        <v>2021</v>
      </c>
      <c r="B28" s="11">
        <f>'AMECO Output Gap'!B58/100</f>
        <v>-0.01</v>
      </c>
      <c r="C28" s="6">
        <v>5383.8412407124706</v>
      </c>
      <c r="D28" s="6">
        <v>-329.03357956131731</v>
      </c>
      <c r="E28" s="6">
        <v>91.888435001540529</v>
      </c>
      <c r="F28" s="6">
        <v>179.13683434312588</v>
      </c>
      <c r="G28" s="6">
        <v>-472.11969616675924</v>
      </c>
      <c r="H28" s="6">
        <v>-123.28338814482504</v>
      </c>
      <c r="I28" s="6">
        <v>-25.244939777040599</v>
      </c>
      <c r="J28" s="6">
        <v>3989.282455346729</v>
      </c>
      <c r="K28" s="6">
        <v>141.81207291576266</v>
      </c>
      <c r="L28" s="6">
        <v>778.56652587149074</v>
      </c>
      <c r="M28" s="6">
        <v>1152.8365208837495</v>
      </c>
      <c r="N28" s="6">
        <f t="shared" si="0"/>
        <v>4703.1244159954658</v>
      </c>
      <c r="O28" s="7">
        <v>2021</v>
      </c>
      <c r="P28" s="6">
        <v>97290.999523906736</v>
      </c>
      <c r="Q28" s="6">
        <v>-7053.3471410852981</v>
      </c>
      <c r="R28" s="6">
        <v>1148.7713747328744</v>
      </c>
      <c r="S28" s="6">
        <v>5894.4012258216699</v>
      </c>
      <c r="T28" s="6">
        <v>16097.165044333295</v>
      </c>
      <c r="U28" s="6">
        <v>2276.8150167828389</v>
      </c>
      <c r="V28" s="6">
        <v>1121.1714605191664</v>
      </c>
      <c r="W28" s="6">
        <v>32415.457640931709</v>
      </c>
      <c r="X28" s="6">
        <v>2910.1221679944438</v>
      </c>
      <c r="Y28" s="6">
        <v>11224.020045918056</v>
      </c>
      <c r="Z28" s="6">
        <v>31256.422687957973</v>
      </c>
      <c r="AA28" s="6">
        <f t="shared" si="1"/>
        <v>49937.411791615465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Blad18">
    <outlinePr summaryBelow="0" summaryRight="0"/>
  </sheetPr>
  <dimension ref="A1:F16"/>
  <sheetViews>
    <sheetView workbookViewId="0"/>
  </sheetViews>
  <sheetFormatPr defaultColWidth="12.6640625" defaultRowHeight="15.75" customHeight="1"/>
  <cols>
    <col min="3" max="3" width="23.6640625" customWidth="1"/>
    <col min="4" max="4" width="27" customWidth="1"/>
  </cols>
  <sheetData>
    <row r="1" spans="1:6">
      <c r="A1" s="7" t="s">
        <v>0</v>
      </c>
      <c r="B1" s="7" t="s">
        <v>115</v>
      </c>
      <c r="C1" s="7" t="s">
        <v>133</v>
      </c>
      <c r="D1" s="7" t="s">
        <v>134</v>
      </c>
      <c r="E1" s="7" t="s">
        <v>135</v>
      </c>
      <c r="F1" s="7" t="s">
        <v>136</v>
      </c>
    </row>
    <row r="2" spans="1:6">
      <c r="A2" s="7">
        <v>2010</v>
      </c>
      <c r="B2" s="7">
        <v>-1.9</v>
      </c>
      <c r="C2" s="7">
        <v>0</v>
      </c>
      <c r="D2" s="7">
        <v>0</v>
      </c>
    </row>
    <row r="3" spans="1:6">
      <c r="A3" s="7">
        <v>2011</v>
      </c>
      <c r="B3" s="7">
        <v>-1.2</v>
      </c>
      <c r="C3" s="7">
        <v>0.1</v>
      </c>
      <c r="D3" s="7">
        <v>-0.3</v>
      </c>
      <c r="E3" s="7">
        <v>0.4</v>
      </c>
      <c r="F3" s="6">
        <f t="shared" ref="F3:F16" si="0">-1*E3</f>
        <v>-0.4</v>
      </c>
    </row>
    <row r="4" spans="1:6">
      <c r="A4" s="7">
        <v>2012</v>
      </c>
      <c r="B4" s="7">
        <v>-2.6</v>
      </c>
      <c r="C4" s="7">
        <v>0.1</v>
      </c>
      <c r="D4" s="7">
        <v>-0.6</v>
      </c>
      <c r="E4" s="7">
        <v>0.7</v>
      </c>
      <c r="F4" s="6">
        <f t="shared" si="0"/>
        <v>-0.7</v>
      </c>
    </row>
    <row r="5" spans="1:6">
      <c r="A5" s="7">
        <v>2013</v>
      </c>
      <c r="B5" s="7">
        <v>-3.1</v>
      </c>
      <c r="C5" s="7">
        <v>1.4</v>
      </c>
      <c r="D5" s="7">
        <v>-0.7</v>
      </c>
      <c r="E5" s="7">
        <v>2.1</v>
      </c>
      <c r="F5" s="6">
        <f t="shared" si="0"/>
        <v>-2.1</v>
      </c>
    </row>
    <row r="6" spans="1:6">
      <c r="A6" s="7">
        <v>2014</v>
      </c>
      <c r="B6" s="7">
        <v>-2.2000000000000002</v>
      </c>
      <c r="C6" s="7">
        <v>0.7</v>
      </c>
      <c r="D6" s="7">
        <v>0.3</v>
      </c>
      <c r="E6" s="7">
        <v>0.4</v>
      </c>
      <c r="F6" s="6">
        <f t="shared" si="0"/>
        <v>-0.4</v>
      </c>
    </row>
    <row r="7" spans="1:6">
      <c r="A7" s="7">
        <v>2015</v>
      </c>
      <c r="B7" s="7">
        <v>-1.7</v>
      </c>
      <c r="C7" s="7">
        <v>-0.6</v>
      </c>
      <c r="D7" s="7">
        <v>0.2</v>
      </c>
      <c r="E7" s="7">
        <v>-0.8</v>
      </c>
      <c r="F7" s="6">
        <f t="shared" si="0"/>
        <v>0.8</v>
      </c>
    </row>
    <row r="8" spans="1:6">
      <c r="A8" s="7">
        <v>2016</v>
      </c>
      <c r="B8" s="7">
        <v>-0.8</v>
      </c>
      <c r="C8" s="7">
        <v>-0.2</v>
      </c>
      <c r="D8" s="7">
        <v>-0.7</v>
      </c>
      <c r="E8" s="7">
        <v>0.5</v>
      </c>
      <c r="F8" s="6">
        <f t="shared" si="0"/>
        <v>-0.5</v>
      </c>
    </row>
    <row r="9" spans="1:6">
      <c r="A9" s="7">
        <v>2017</v>
      </c>
      <c r="B9" s="7">
        <v>0.6</v>
      </c>
      <c r="C9" s="7">
        <v>0.7</v>
      </c>
      <c r="D9" s="7">
        <v>0.6</v>
      </c>
      <c r="E9" s="7">
        <v>0.1</v>
      </c>
      <c r="F9" s="6">
        <f t="shared" si="0"/>
        <v>-0.1</v>
      </c>
    </row>
    <row r="10" spans="1:6">
      <c r="A10" s="7">
        <v>2018</v>
      </c>
      <c r="B10" s="7">
        <v>1.3</v>
      </c>
      <c r="C10" s="7">
        <v>-0.4</v>
      </c>
      <c r="D10" s="7">
        <v>0.4</v>
      </c>
      <c r="E10" s="7">
        <v>-0.8</v>
      </c>
      <c r="F10" s="6">
        <f t="shared" si="0"/>
        <v>0.8</v>
      </c>
    </row>
    <row r="11" spans="1:6">
      <c r="A11" s="7">
        <v>2019</v>
      </c>
      <c r="B11" s="7">
        <v>1.4</v>
      </c>
      <c r="C11" s="7">
        <v>0.6</v>
      </c>
      <c r="D11" s="7">
        <v>0.4</v>
      </c>
      <c r="E11" s="7">
        <v>0.2</v>
      </c>
      <c r="F11" s="6">
        <f t="shared" si="0"/>
        <v>-0.2</v>
      </c>
    </row>
    <row r="12" spans="1:6">
      <c r="A12" s="7">
        <v>2020</v>
      </c>
      <c r="B12" s="7">
        <v>-4</v>
      </c>
      <c r="C12" s="7">
        <v>-1.3</v>
      </c>
      <c r="D12" s="7">
        <v>3.3</v>
      </c>
      <c r="E12" s="7">
        <v>-4.5999999999999996</v>
      </c>
      <c r="F12" s="6">
        <f t="shared" si="0"/>
        <v>4.5999999999999996</v>
      </c>
    </row>
    <row r="13" spans="1:6">
      <c r="A13" s="7">
        <v>2021</v>
      </c>
      <c r="B13" s="7">
        <v>-1</v>
      </c>
      <c r="C13" s="7">
        <v>0.1</v>
      </c>
      <c r="D13" s="7">
        <v>0.7</v>
      </c>
      <c r="E13" s="7">
        <v>-0.6</v>
      </c>
      <c r="F13" s="6">
        <f t="shared" si="0"/>
        <v>0.6</v>
      </c>
    </row>
    <row r="14" spans="1:6">
      <c r="A14" s="7">
        <v>2022</v>
      </c>
      <c r="B14" s="7">
        <v>1.2</v>
      </c>
      <c r="C14" s="7">
        <v>0.1</v>
      </c>
      <c r="D14" s="7">
        <v>-0.3</v>
      </c>
      <c r="E14" s="7">
        <v>0.4</v>
      </c>
      <c r="F14" s="6">
        <f t="shared" si="0"/>
        <v>-0.4</v>
      </c>
    </row>
    <row r="15" spans="1:6">
      <c r="A15" s="7">
        <v>2023</v>
      </c>
      <c r="B15" s="7">
        <v>1.1000000000000001</v>
      </c>
      <c r="C15" s="7">
        <v>0.2</v>
      </c>
      <c r="D15" s="7">
        <v>0.5</v>
      </c>
      <c r="E15" s="7">
        <v>-0.3</v>
      </c>
      <c r="F15" s="6">
        <f t="shared" si="0"/>
        <v>0.3</v>
      </c>
    </row>
    <row r="16" spans="1:6">
      <c r="A16" s="7">
        <v>2024</v>
      </c>
      <c r="B16" s="7">
        <v>0.4</v>
      </c>
      <c r="C16" s="7">
        <v>0.4</v>
      </c>
      <c r="D16" s="7">
        <v>-0.9</v>
      </c>
      <c r="E16" s="7">
        <v>1.3</v>
      </c>
      <c r="F16" s="6">
        <f t="shared" si="0"/>
        <v>-1.3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Blad19">
    <outlinePr summaryBelow="0" summaryRight="0"/>
  </sheetPr>
  <dimension ref="A1:BM63"/>
  <sheetViews>
    <sheetView workbookViewId="0"/>
  </sheetViews>
  <sheetFormatPr defaultColWidth="12.6640625" defaultRowHeight="15.75" customHeight="1"/>
  <cols>
    <col min="2" max="2" width="14.33203125" customWidth="1"/>
  </cols>
  <sheetData>
    <row r="1" spans="1:65">
      <c r="A1" s="7" t="s">
        <v>137</v>
      </c>
      <c r="B1" s="7" t="s">
        <v>138</v>
      </c>
      <c r="C1" s="7" t="s">
        <v>139</v>
      </c>
      <c r="D1" s="7" t="s">
        <v>140</v>
      </c>
    </row>
    <row r="2" spans="1:65">
      <c r="A2" s="7" t="s">
        <v>141</v>
      </c>
      <c r="B2" s="7" t="s">
        <v>142</v>
      </c>
      <c r="C2" s="7" t="s">
        <v>143</v>
      </c>
      <c r="D2" s="160" t="s">
        <v>144</v>
      </c>
      <c r="E2" s="161"/>
    </row>
    <row r="3" spans="1:65"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 spans="1:65">
      <c r="A4" s="7">
        <v>1965</v>
      </c>
      <c r="B4" s="7">
        <v>190.6</v>
      </c>
      <c r="C4" s="10"/>
    </row>
    <row r="5" spans="1:65">
      <c r="A5" s="7">
        <v>1966</v>
      </c>
      <c r="B5" s="7">
        <v>201.4</v>
      </c>
      <c r="C5" s="10">
        <f t="shared" ref="C5:C63" si="0">B5/B4-1</f>
        <v>5.6663168940188857E-2</v>
      </c>
    </row>
    <row r="6" spans="1:65">
      <c r="A6" s="7">
        <v>1967</v>
      </c>
      <c r="B6" s="7">
        <v>212.7</v>
      </c>
      <c r="C6" s="10">
        <f t="shared" si="0"/>
        <v>5.6107249255213487E-2</v>
      </c>
    </row>
    <row r="7" spans="1:65">
      <c r="A7" s="7">
        <v>1968</v>
      </c>
      <c r="B7" s="7">
        <v>224</v>
      </c>
      <c r="C7" s="10">
        <f t="shared" si="0"/>
        <v>5.312646920545383E-2</v>
      </c>
    </row>
    <row r="8" spans="1:65">
      <c r="A8" s="7">
        <v>1969</v>
      </c>
      <c r="B8" s="7">
        <v>235.2</v>
      </c>
      <c r="C8" s="10">
        <f t="shared" si="0"/>
        <v>5.0000000000000044E-2</v>
      </c>
    </row>
    <row r="9" spans="1:65">
      <c r="A9" s="7">
        <v>1970</v>
      </c>
      <c r="B9" s="7">
        <v>247</v>
      </c>
      <c r="C9" s="10">
        <f t="shared" si="0"/>
        <v>5.0170068027211023E-2</v>
      </c>
    </row>
    <row r="10" spans="1:65">
      <c r="A10" s="7">
        <v>1971</v>
      </c>
      <c r="B10" s="7">
        <v>258.60000000000002</v>
      </c>
      <c r="C10" s="10">
        <f t="shared" si="0"/>
        <v>4.6963562753036481E-2</v>
      </c>
    </row>
    <row r="11" spans="1:65">
      <c r="A11" s="7">
        <v>1972</v>
      </c>
      <c r="B11" s="7">
        <v>269</v>
      </c>
      <c r="C11" s="10">
        <f t="shared" si="0"/>
        <v>4.0216550657385941E-2</v>
      </c>
    </row>
    <row r="12" spans="1:65">
      <c r="A12" s="7">
        <v>1973</v>
      </c>
      <c r="B12" s="7">
        <v>279.10000000000002</v>
      </c>
      <c r="C12" s="10">
        <f t="shared" si="0"/>
        <v>3.754646840148701E-2</v>
      </c>
    </row>
    <row r="13" spans="1:65">
      <c r="A13" s="7">
        <v>1974</v>
      </c>
      <c r="B13" s="7">
        <v>288.2</v>
      </c>
      <c r="C13" s="10">
        <f t="shared" si="0"/>
        <v>3.2604801146542295E-2</v>
      </c>
    </row>
    <row r="14" spans="1:65">
      <c r="A14" s="7">
        <v>1975</v>
      </c>
      <c r="B14" s="7">
        <v>296.10000000000002</v>
      </c>
      <c r="C14" s="10">
        <f t="shared" si="0"/>
        <v>2.7411519777932103E-2</v>
      </c>
    </row>
    <row r="15" spans="1:65">
      <c r="A15" s="7">
        <v>1976</v>
      </c>
      <c r="B15" s="7">
        <v>304.10000000000002</v>
      </c>
      <c r="C15" s="10">
        <f t="shared" si="0"/>
        <v>2.7017899358324993E-2</v>
      </c>
    </row>
    <row r="16" spans="1:65">
      <c r="A16" s="7">
        <v>1977</v>
      </c>
      <c r="B16" s="7">
        <v>311.7</v>
      </c>
      <c r="C16" s="10">
        <f t="shared" si="0"/>
        <v>2.4991779020059113E-2</v>
      </c>
    </row>
    <row r="17" spans="1:3">
      <c r="A17" s="7">
        <v>1978</v>
      </c>
      <c r="B17" s="7">
        <v>318.89999999999998</v>
      </c>
      <c r="C17" s="10">
        <f t="shared" si="0"/>
        <v>2.3099133782483072E-2</v>
      </c>
    </row>
    <row r="18" spans="1:3">
      <c r="A18" s="7">
        <v>1979</v>
      </c>
      <c r="B18" s="7">
        <v>326</v>
      </c>
      <c r="C18" s="10">
        <f t="shared" si="0"/>
        <v>2.226403261210419E-2</v>
      </c>
    </row>
    <row r="19" spans="1:3">
      <c r="A19" s="7">
        <v>1980</v>
      </c>
      <c r="B19" s="7">
        <v>333.2</v>
      </c>
      <c r="C19" s="10">
        <f t="shared" si="0"/>
        <v>2.208588957055202E-2</v>
      </c>
    </row>
    <row r="20" spans="1:3">
      <c r="A20" s="7">
        <v>1981</v>
      </c>
      <c r="B20" s="7">
        <v>338</v>
      </c>
      <c r="C20" s="10">
        <f t="shared" si="0"/>
        <v>1.4405762304922076E-2</v>
      </c>
    </row>
    <row r="21" spans="1:3">
      <c r="A21" s="7">
        <v>1982</v>
      </c>
      <c r="B21" s="7">
        <v>341.2</v>
      </c>
      <c r="C21" s="10">
        <f t="shared" si="0"/>
        <v>9.4674556213016903E-3</v>
      </c>
    </row>
    <row r="22" spans="1:3">
      <c r="A22" s="7">
        <v>1983</v>
      </c>
      <c r="B22" s="7">
        <v>346.4</v>
      </c>
      <c r="C22" s="10">
        <f t="shared" si="0"/>
        <v>1.5240328253223856E-2</v>
      </c>
    </row>
    <row r="23" spans="1:3">
      <c r="A23" s="7">
        <v>1984</v>
      </c>
      <c r="B23" s="7">
        <v>350.8</v>
      </c>
      <c r="C23" s="10">
        <f t="shared" si="0"/>
        <v>1.2702078521940052E-2</v>
      </c>
    </row>
    <row r="24" spans="1:3">
      <c r="A24" s="7">
        <v>1985</v>
      </c>
      <c r="B24" s="7">
        <v>356.8</v>
      </c>
      <c r="C24" s="10">
        <f t="shared" si="0"/>
        <v>1.7103762827822111E-2</v>
      </c>
    </row>
    <row r="25" spans="1:3">
      <c r="A25" s="7">
        <v>1986</v>
      </c>
      <c r="B25" s="7">
        <v>364.3</v>
      </c>
      <c r="C25" s="10">
        <f t="shared" si="0"/>
        <v>2.1020179372197356E-2</v>
      </c>
    </row>
    <row r="26" spans="1:3">
      <c r="A26" s="7">
        <v>1987</v>
      </c>
      <c r="B26" s="7">
        <v>372.6</v>
      </c>
      <c r="C26" s="10">
        <f t="shared" si="0"/>
        <v>2.2783420258029041E-2</v>
      </c>
    </row>
    <row r="27" spans="1:3">
      <c r="A27" s="7">
        <v>1988</v>
      </c>
      <c r="B27" s="7">
        <v>382.7</v>
      </c>
      <c r="C27" s="10">
        <f t="shared" si="0"/>
        <v>2.7106816961889324E-2</v>
      </c>
    </row>
    <row r="28" spans="1:3">
      <c r="A28" s="7">
        <v>1989</v>
      </c>
      <c r="B28" s="7">
        <v>394.1</v>
      </c>
      <c r="C28" s="10">
        <f t="shared" si="0"/>
        <v>2.9788345962895368E-2</v>
      </c>
    </row>
    <row r="29" spans="1:3">
      <c r="A29" s="7">
        <v>1990</v>
      </c>
      <c r="B29" s="7">
        <v>406.3</v>
      </c>
      <c r="C29" s="10">
        <f t="shared" si="0"/>
        <v>3.0956609997462525E-2</v>
      </c>
    </row>
    <row r="30" spans="1:3">
      <c r="A30" s="7">
        <v>1991</v>
      </c>
      <c r="B30" s="7">
        <v>419.3</v>
      </c>
      <c r="C30" s="10">
        <f t="shared" si="0"/>
        <v>3.1996062023135652E-2</v>
      </c>
    </row>
    <row r="31" spans="1:3">
      <c r="A31" s="7">
        <v>1992</v>
      </c>
      <c r="B31" s="7">
        <v>432.9</v>
      </c>
      <c r="C31" s="10">
        <f t="shared" si="0"/>
        <v>3.2435010732172476E-2</v>
      </c>
    </row>
    <row r="32" spans="1:3">
      <c r="A32" s="7">
        <v>1993</v>
      </c>
      <c r="B32" s="7">
        <v>446.5</v>
      </c>
      <c r="C32" s="10">
        <f t="shared" si="0"/>
        <v>3.1416031416031442E-2</v>
      </c>
    </row>
    <row r="33" spans="1:3">
      <c r="A33" s="7">
        <v>1994</v>
      </c>
      <c r="B33" s="7">
        <v>460.6</v>
      </c>
      <c r="C33" s="10">
        <f t="shared" si="0"/>
        <v>3.1578947368421151E-2</v>
      </c>
    </row>
    <row r="34" spans="1:3">
      <c r="A34" s="7">
        <v>1995</v>
      </c>
      <c r="B34" s="7">
        <v>475.7</v>
      </c>
      <c r="C34" s="10">
        <f t="shared" si="0"/>
        <v>3.2783326096395893E-2</v>
      </c>
    </row>
    <row r="35" spans="1:3">
      <c r="A35" s="7">
        <v>1996</v>
      </c>
      <c r="B35" s="7">
        <v>492</v>
      </c>
      <c r="C35" s="10">
        <f t="shared" si="0"/>
        <v>3.4265293252049744E-2</v>
      </c>
    </row>
    <row r="36" spans="1:3">
      <c r="A36" s="7">
        <v>1997</v>
      </c>
      <c r="B36" s="7">
        <v>509.4</v>
      </c>
      <c r="C36" s="10">
        <f t="shared" si="0"/>
        <v>3.5365853658536617E-2</v>
      </c>
    </row>
    <row r="37" spans="1:3">
      <c r="A37" s="7">
        <v>1998</v>
      </c>
      <c r="B37" s="7">
        <v>527.9</v>
      </c>
      <c r="C37" s="10">
        <f t="shared" si="0"/>
        <v>3.6317235963879035E-2</v>
      </c>
    </row>
    <row r="38" spans="1:3">
      <c r="A38" s="7">
        <v>1999</v>
      </c>
      <c r="B38" s="7">
        <v>547.1</v>
      </c>
      <c r="C38" s="10">
        <f t="shared" si="0"/>
        <v>3.6370524720591213E-2</v>
      </c>
    </row>
    <row r="39" spans="1:3">
      <c r="A39" s="7">
        <v>2000</v>
      </c>
      <c r="B39" s="7">
        <v>565.70000000000005</v>
      </c>
      <c r="C39" s="10">
        <f t="shared" si="0"/>
        <v>3.3997441052824096E-2</v>
      </c>
    </row>
    <row r="40" spans="1:3">
      <c r="A40" s="7">
        <v>2001</v>
      </c>
      <c r="B40" s="7">
        <v>583.29999999999995</v>
      </c>
      <c r="C40" s="10">
        <f t="shared" si="0"/>
        <v>3.1111896765069647E-2</v>
      </c>
    </row>
    <row r="41" spans="1:3">
      <c r="A41" s="7">
        <v>2002</v>
      </c>
      <c r="B41" s="7">
        <v>597.79999999999995</v>
      </c>
      <c r="C41" s="10">
        <f t="shared" si="0"/>
        <v>2.4858563346476847E-2</v>
      </c>
    </row>
    <row r="42" spans="1:3">
      <c r="A42" s="7">
        <v>2003</v>
      </c>
      <c r="B42" s="7">
        <v>610.20000000000005</v>
      </c>
      <c r="C42" s="10">
        <f t="shared" si="0"/>
        <v>2.0742723318835976E-2</v>
      </c>
    </row>
    <row r="43" spans="1:3">
      <c r="A43" s="7">
        <v>2004</v>
      </c>
      <c r="B43" s="7">
        <v>621.4</v>
      </c>
      <c r="C43" s="10">
        <f t="shared" si="0"/>
        <v>1.835463782366431E-2</v>
      </c>
    </row>
    <row r="44" spans="1:3">
      <c r="A44" s="7">
        <v>2005</v>
      </c>
      <c r="B44" s="7">
        <v>631</v>
      </c>
      <c r="C44" s="10">
        <f t="shared" si="0"/>
        <v>1.544898616028334E-2</v>
      </c>
    </row>
    <row r="45" spans="1:3">
      <c r="A45" s="7">
        <v>2006</v>
      </c>
      <c r="B45" s="7">
        <v>642.4</v>
      </c>
      <c r="C45" s="10">
        <f t="shared" si="0"/>
        <v>1.8066561014262961E-2</v>
      </c>
    </row>
    <row r="46" spans="1:3">
      <c r="A46" s="7">
        <v>2007</v>
      </c>
      <c r="B46" s="7">
        <v>654.9</v>
      </c>
      <c r="C46" s="10">
        <f t="shared" si="0"/>
        <v>1.9458281444582726E-2</v>
      </c>
    </row>
    <row r="47" spans="1:3">
      <c r="A47" s="7">
        <v>2008</v>
      </c>
      <c r="B47" s="7">
        <v>666.3</v>
      </c>
      <c r="C47" s="10">
        <f t="shared" si="0"/>
        <v>1.7407237746220661E-2</v>
      </c>
    </row>
    <row r="48" spans="1:3">
      <c r="A48" s="7">
        <v>2009</v>
      </c>
      <c r="B48" s="7">
        <v>673.3</v>
      </c>
      <c r="C48" s="10">
        <f t="shared" si="0"/>
        <v>1.0505778177997804E-2</v>
      </c>
    </row>
    <row r="49" spans="1:3">
      <c r="A49" s="7">
        <v>2010</v>
      </c>
      <c r="B49" s="7">
        <v>677.8</v>
      </c>
      <c r="C49" s="10">
        <f t="shared" si="0"/>
        <v>6.6834991831279389E-3</v>
      </c>
    </row>
    <row r="50" spans="1:3">
      <c r="A50" s="7">
        <v>2011</v>
      </c>
      <c r="B50" s="7">
        <v>683</v>
      </c>
      <c r="C50" s="10">
        <f t="shared" si="0"/>
        <v>7.6718796105046394E-3</v>
      </c>
    </row>
    <row r="51" spans="1:3">
      <c r="A51" s="7">
        <v>2012</v>
      </c>
      <c r="B51" s="7">
        <v>686</v>
      </c>
      <c r="C51" s="10">
        <f t="shared" si="0"/>
        <v>4.3923865300146137E-3</v>
      </c>
    </row>
    <row r="52" spans="1:3">
      <c r="A52" s="7">
        <v>2013</v>
      </c>
      <c r="B52" s="7">
        <v>688.6</v>
      </c>
      <c r="C52" s="10">
        <f t="shared" si="0"/>
        <v>3.7900874635568016E-3</v>
      </c>
    </row>
    <row r="53" spans="1:3">
      <c r="A53" s="7">
        <v>2014</v>
      </c>
      <c r="B53" s="7">
        <v>692.3</v>
      </c>
      <c r="C53" s="10">
        <f t="shared" si="0"/>
        <v>5.3732210281729476E-3</v>
      </c>
    </row>
    <row r="54" spans="1:3">
      <c r="A54" s="7">
        <v>2015</v>
      </c>
      <c r="B54" s="7">
        <v>701.7</v>
      </c>
      <c r="C54" s="10">
        <f t="shared" si="0"/>
        <v>1.3577928643651704E-2</v>
      </c>
    </row>
    <row r="55" spans="1:3">
      <c r="A55" s="7">
        <v>2016</v>
      </c>
      <c r="B55" s="7">
        <v>710.8</v>
      </c>
      <c r="C55" s="10">
        <f t="shared" si="0"/>
        <v>1.2968505059141933E-2</v>
      </c>
    </row>
    <row r="56" spans="1:3">
      <c r="A56" s="7">
        <v>2017</v>
      </c>
      <c r="B56" s="7">
        <v>721.6</v>
      </c>
      <c r="C56" s="10">
        <f t="shared" si="0"/>
        <v>1.5194147439504979E-2</v>
      </c>
    </row>
    <row r="57" spans="1:3">
      <c r="A57" s="7">
        <v>2018</v>
      </c>
      <c r="B57" s="7">
        <v>733.4</v>
      </c>
      <c r="C57" s="10">
        <f t="shared" si="0"/>
        <v>1.6352549889135259E-2</v>
      </c>
    </row>
    <row r="58" spans="1:3">
      <c r="A58" s="7">
        <v>2019</v>
      </c>
      <c r="B58" s="7">
        <v>746.8</v>
      </c>
      <c r="C58" s="10">
        <f t="shared" si="0"/>
        <v>1.827106626670294E-2</v>
      </c>
    </row>
    <row r="59" spans="1:3">
      <c r="A59" s="7">
        <v>2020</v>
      </c>
      <c r="B59" s="7">
        <v>758.4</v>
      </c>
      <c r="C59" s="10">
        <f t="shared" si="0"/>
        <v>1.5532940546331142E-2</v>
      </c>
    </row>
    <row r="60" spans="1:3">
      <c r="A60" s="7">
        <v>2021</v>
      </c>
      <c r="B60" s="7">
        <v>771.3</v>
      </c>
      <c r="C60" s="10">
        <f t="shared" si="0"/>
        <v>1.7009493670886E-2</v>
      </c>
    </row>
    <row r="61" spans="1:3">
      <c r="A61" s="7">
        <v>2022</v>
      </c>
      <c r="B61" s="7">
        <v>788</v>
      </c>
      <c r="C61" s="10">
        <f t="shared" si="0"/>
        <v>2.1651756774277331E-2</v>
      </c>
    </row>
    <row r="62" spans="1:3">
      <c r="A62" s="7">
        <v>2023</v>
      </c>
      <c r="B62" s="7">
        <v>803.1</v>
      </c>
      <c r="C62" s="10">
        <f t="shared" si="0"/>
        <v>1.9162436548223472E-2</v>
      </c>
    </row>
    <row r="63" spans="1:3">
      <c r="A63" s="7">
        <v>2024</v>
      </c>
      <c r="B63" s="7">
        <v>818.2</v>
      </c>
      <c r="C63" s="10">
        <f t="shared" si="0"/>
        <v>1.8802141700908992E-2</v>
      </c>
    </row>
  </sheetData>
  <mergeCells count="1">
    <mergeCell ref="D2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Blad21">
    <tabColor rgb="FFFF9900"/>
    <outlinePr summaryBelow="0" summaryRight="0"/>
  </sheetPr>
  <dimension ref="A1:AP1000"/>
  <sheetViews>
    <sheetView workbookViewId="0"/>
  </sheetViews>
  <sheetFormatPr defaultColWidth="12.6640625" defaultRowHeight="15.75" customHeight="1"/>
  <cols>
    <col min="29" max="29" width="13.33203125" customWidth="1"/>
    <col min="31" max="31" width="21.33203125" customWidth="1"/>
    <col min="34" max="34" width="14.33203125" customWidth="1"/>
    <col min="36" max="36" width="16.33203125" customWidth="1"/>
  </cols>
  <sheetData>
    <row r="1" spans="1:42" ht="15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/>
      <c r="G1" s="1" t="s">
        <v>5</v>
      </c>
      <c r="H1" s="4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15</v>
      </c>
      <c r="P1" s="1" t="s">
        <v>16</v>
      </c>
      <c r="Q1" s="5"/>
      <c r="R1" s="1" t="s">
        <v>17</v>
      </c>
      <c r="S1" s="1" t="s">
        <v>18</v>
      </c>
      <c r="T1" s="1" t="s">
        <v>145</v>
      </c>
      <c r="U1" s="1" t="s">
        <v>19</v>
      </c>
      <c r="V1" s="5"/>
      <c r="W1" s="1" t="s">
        <v>20</v>
      </c>
      <c r="X1" s="1" t="s">
        <v>23</v>
      </c>
      <c r="Y1" s="1" t="s">
        <v>25</v>
      </c>
      <c r="Z1" s="1" t="s">
        <v>26</v>
      </c>
      <c r="AA1" s="1" t="s">
        <v>27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34</v>
      </c>
      <c r="AG1" s="1" t="s">
        <v>35</v>
      </c>
      <c r="AH1" s="1" t="s">
        <v>36</v>
      </c>
      <c r="AI1" s="7" t="s">
        <v>146</v>
      </c>
      <c r="AJ1" s="7" t="s">
        <v>147</v>
      </c>
      <c r="AK1" s="7" t="s">
        <v>148</v>
      </c>
      <c r="AL1" s="7" t="s">
        <v>149</v>
      </c>
      <c r="AM1" s="7" t="s">
        <v>150</v>
      </c>
      <c r="AO1" s="7" t="s">
        <v>151</v>
      </c>
      <c r="AP1" s="7" t="s">
        <v>152</v>
      </c>
    </row>
    <row r="2" spans="1:42" ht="15.75" customHeight="1">
      <c r="A2" s="6">
        <f>'CPB Data'!A2:A53</f>
        <v>1971</v>
      </c>
      <c r="B2" s="7">
        <v>1</v>
      </c>
      <c r="C2" s="8"/>
      <c r="D2" s="8"/>
      <c r="E2" s="8"/>
      <c r="H2" s="9"/>
      <c r="I2" s="9"/>
      <c r="J2" s="10">
        <f>'CPB Data'!D2</f>
        <v>1.18E-2</v>
      </c>
      <c r="L2" s="10">
        <f>'CPB Data'!G2/100</f>
        <v>0.46399999999999997</v>
      </c>
      <c r="M2" s="10">
        <f>'CPB Data'!C2</f>
        <v>0.13589999999999999</v>
      </c>
      <c r="N2" s="10">
        <f>'CPB Data'!B2</f>
        <v>5.5300000000000002E-2</v>
      </c>
      <c r="O2" s="10">
        <f>MEDIAN(Inflatie!B2:B10)/100</f>
        <v>5.2000000000000005E-2</v>
      </c>
      <c r="P2" s="10">
        <f t="shared" ref="P2:P53" si="0">J2-L2*N2-D2</f>
        <v>-1.38592E-2</v>
      </c>
      <c r="S2" s="10">
        <f>'AMECO Potential GDP'!C10</f>
        <v>4.6963562753036481E-2</v>
      </c>
      <c r="T2" s="10"/>
      <c r="U2" s="10">
        <f>'AMECO Output Gap'!B8/100</f>
        <v>1.3000000000000001E-2</v>
      </c>
      <c r="X2" s="10">
        <f>((1+N2)/(1+S2+O2)-1)*L2</f>
        <v>-1.8435454826778327E-2</v>
      </c>
      <c r="Y2" s="10"/>
      <c r="Z2" s="10">
        <f>IF(B2=1,X2,X1)</f>
        <v>-1.8435454826778327E-2</v>
      </c>
      <c r="AA2" s="10">
        <f t="shared" ref="AA2:AA53" si="1">U2</f>
        <v>1.3000000000000001E-2</v>
      </c>
      <c r="AB2" s="10">
        <f t="shared" ref="AB2:AB53" si="2">Z2+AA2</f>
        <v>-5.4354548267783256E-3</v>
      </c>
      <c r="AC2" s="10"/>
      <c r="AD2" s="10">
        <f t="shared" ref="AD2:AD53" si="3">AB2-AF2*N2-D2</f>
        <v>-3.1094654826778326E-2</v>
      </c>
      <c r="AE2" s="10"/>
      <c r="AF2" s="10">
        <f>$L2</f>
        <v>0.46399999999999997</v>
      </c>
      <c r="AG2" s="10">
        <f t="shared" ref="AG2:AG53" si="4">IF(0&gt;0,M2,M2-(AB2-J2)*0.6)</f>
        <v>0.14624127289606698</v>
      </c>
      <c r="AH2" s="10">
        <f>$L2</f>
        <v>0.46399999999999997</v>
      </c>
      <c r="AI2" s="10">
        <f t="shared" ref="AI2:AI53" si="5">AF2+C2</f>
        <v>0.46399999999999997</v>
      </c>
      <c r="AO2" s="10">
        <f t="shared" ref="AO2:AO53" si="6">AE2-P2</f>
        <v>1.38592E-2</v>
      </c>
    </row>
    <row r="3" spans="1:42" ht="15.75" customHeight="1">
      <c r="A3" s="6">
        <f>'CPB Data'!A3:A54</f>
        <v>1972</v>
      </c>
      <c r="B3" s="7">
        <v>1</v>
      </c>
      <c r="C3" s="13">
        <v>0.02</v>
      </c>
      <c r="D3" s="13"/>
      <c r="E3" s="13"/>
      <c r="H3" s="9"/>
      <c r="I3" s="9"/>
      <c r="J3" s="10">
        <f>'CPB Data'!D3</f>
        <v>1.8800000000000001E-2</v>
      </c>
      <c r="L3" s="10">
        <f>'CPB Data'!G3/100</f>
        <v>0.436</v>
      </c>
      <c r="M3" s="10">
        <f>'CPB Data'!C3</f>
        <v>0.12509999999999999</v>
      </c>
      <c r="N3" s="10">
        <f>'CPB Data'!B3</f>
        <v>5.4800000000000001E-2</v>
      </c>
      <c r="O3" s="10">
        <f>MEDIAN(Inflatie!B3:B11)/100</f>
        <v>5.5E-2</v>
      </c>
      <c r="P3" s="10">
        <f t="shared" si="0"/>
        <v>-5.0928000000000015E-3</v>
      </c>
      <c r="S3" s="10">
        <f>'AMECO Potential GDP'!C11</f>
        <v>4.0216550657385941E-2</v>
      </c>
      <c r="T3" s="10"/>
      <c r="U3" s="10">
        <f>'AMECO Output Gap'!B9/100</f>
        <v>8.0000000000000002E-3</v>
      </c>
      <c r="X3" s="10">
        <f t="shared" ref="X3:X41" si="7">((1+N2)/(1+S2+O2)-1)*AF2</f>
        <v>-1.8435454826778327E-2</v>
      </c>
      <c r="Y3" s="10">
        <f t="shared" ref="Y3:Y53" si="8">((1+N2)/(1+S2+O2)-1)*L2</f>
        <v>-1.8435454826778327E-2</v>
      </c>
      <c r="Z3" s="10">
        <f t="shared" ref="Z3:Z53" si="9">IF(B3=1,X3,Z2)</f>
        <v>-1.8435454826778327E-2</v>
      </c>
      <c r="AA3" s="10">
        <f t="shared" si="1"/>
        <v>8.0000000000000002E-3</v>
      </c>
      <c r="AB3" s="10">
        <f t="shared" si="2"/>
        <v>-1.0435454826778327E-2</v>
      </c>
      <c r="AC3" s="10">
        <f t="shared" ref="AC3:AC53" si="10">Y3+AA3</f>
        <v>-1.0435454826778327E-2</v>
      </c>
      <c r="AD3" s="10">
        <f t="shared" si="3"/>
        <v>-3.478215599512554E-2</v>
      </c>
      <c r="AE3" s="10">
        <f t="shared" ref="AE3:AE53" si="11">Y3-L3*N3-C3</f>
        <v>-6.2328254826778326E-2</v>
      </c>
      <c r="AF3" s="10">
        <f t="shared" ref="AF3:AF53" si="12">($AF2+D3+($AF2*$N3-$AB3))/(1+$M3)</f>
        <v>0.44428286803553307</v>
      </c>
      <c r="AG3" s="10">
        <f t="shared" si="4"/>
        <v>0.14264127289606698</v>
      </c>
      <c r="AH3" s="10">
        <f t="shared" ref="AH3:AH53" si="13">($AH2+D3+($AH2*$N3-$AB3))/(1+$AG3)</f>
        <v>0.43746245360090813</v>
      </c>
      <c r="AI3" s="10">
        <f t="shared" si="5"/>
        <v>0.46428286803553309</v>
      </c>
      <c r="AK3" s="24">
        <f t="shared" ref="AK3:AK53" si="14">AF3/AF2-1</f>
        <v>-4.2493818888937329E-2</v>
      </c>
      <c r="AL3" s="24">
        <f t="shared" ref="AL3:AL53" si="15">L3/L2-1</f>
        <v>-6.0344827586206851E-2</v>
      </c>
      <c r="AM3" s="24">
        <f t="shared" ref="AM3:AM53" si="16">AK3-AL3</f>
        <v>1.7851008697269521E-2</v>
      </c>
      <c r="AN3" s="10">
        <f t="shared" ref="AN3:AN53" si="17">X3-X2</f>
        <v>0</v>
      </c>
      <c r="AO3" s="10">
        <f t="shared" si="6"/>
        <v>-5.7235454826778324E-2</v>
      </c>
      <c r="AP3" s="10">
        <f>AE3-Q3</f>
        <v>-6.2328254826778326E-2</v>
      </c>
    </row>
    <row r="4" spans="1:42" ht="15.75" customHeight="1">
      <c r="A4" s="6">
        <f>'CPB Data'!A4:A55</f>
        <v>1973</v>
      </c>
      <c r="B4" s="7">
        <v>1</v>
      </c>
      <c r="C4" s="13">
        <v>0.03</v>
      </c>
      <c r="D4" s="13"/>
      <c r="E4" s="13"/>
      <c r="H4" s="9"/>
      <c r="I4" s="9"/>
      <c r="J4" s="10">
        <f>'CPB Data'!D4</f>
        <v>3.0700000000000002E-2</v>
      </c>
      <c r="L4" s="10">
        <f>'CPB Data'!G4/100</f>
        <v>0.40600000000000003</v>
      </c>
      <c r="M4" s="10">
        <f>'CPB Data'!C4</f>
        <v>0.14360000000000001</v>
      </c>
      <c r="N4" s="10">
        <f>'CPB Data'!B4</f>
        <v>5.8400000000000001E-2</v>
      </c>
      <c r="O4" s="10">
        <f>MEDIAN(Inflatie!B4:B12)/100</f>
        <v>5.7999999999999996E-2</v>
      </c>
      <c r="P4" s="10">
        <f t="shared" si="0"/>
        <v>6.9895999999999986E-3</v>
      </c>
      <c r="S4" s="10">
        <f>'AMECO Potential GDP'!C12</f>
        <v>3.754646840148701E-2</v>
      </c>
      <c r="T4" s="10"/>
      <c r="U4" s="10">
        <f>'AMECO Output Gap'!B10/100</f>
        <v>2.4E-2</v>
      </c>
      <c r="X4" s="10">
        <f t="shared" si="7"/>
        <v>-1.6395279117530498E-2</v>
      </c>
      <c r="Y4" s="10">
        <f t="shared" si="8"/>
        <v>-1.6089618145418975E-2</v>
      </c>
      <c r="Z4" s="10">
        <f t="shared" si="9"/>
        <v>-1.6395279117530498E-2</v>
      </c>
      <c r="AA4" s="10">
        <f t="shared" si="1"/>
        <v>2.4E-2</v>
      </c>
      <c r="AB4" s="10">
        <f t="shared" si="2"/>
        <v>7.6047208824695026E-3</v>
      </c>
      <c r="AC4" s="10">
        <f t="shared" si="10"/>
        <v>7.9103818545810251E-3</v>
      </c>
      <c r="AD4" s="10">
        <f t="shared" si="3"/>
        <v>-1.6020023059596065E-2</v>
      </c>
      <c r="AE4" s="10">
        <f t="shared" si="11"/>
        <v>-6.9800018145418974E-2</v>
      </c>
      <c r="AF4" s="10">
        <f t="shared" si="12"/>
        <v>0.40453328667920491</v>
      </c>
      <c r="AG4" s="10">
        <f t="shared" si="4"/>
        <v>0.1574571674705183</v>
      </c>
      <c r="AH4" s="10">
        <f t="shared" si="13"/>
        <v>0.39345347094265704</v>
      </c>
      <c r="AI4" s="10">
        <f t="shared" si="5"/>
        <v>0.43453328667920488</v>
      </c>
      <c r="AK4" s="24">
        <f t="shared" si="14"/>
        <v>-8.9469084261761478E-2</v>
      </c>
      <c r="AL4" s="24">
        <f t="shared" si="15"/>
        <v>-6.8807339449541205E-2</v>
      </c>
      <c r="AM4" s="24">
        <f t="shared" si="16"/>
        <v>-2.0661744812220273E-2</v>
      </c>
      <c r="AN4" s="10">
        <f t="shared" si="17"/>
        <v>2.0401757092478288E-3</v>
      </c>
      <c r="AO4" s="10">
        <f t="shared" si="6"/>
        <v>-7.6789618145418972E-2</v>
      </c>
    </row>
    <row r="5" spans="1:42" ht="15.75" customHeight="1">
      <c r="A5" s="6">
        <f>'CPB Data'!A5:A56</f>
        <v>1974</v>
      </c>
      <c r="B5" s="7">
        <v>0</v>
      </c>
      <c r="C5" s="13">
        <v>0.03</v>
      </c>
      <c r="D5" s="13"/>
      <c r="E5" s="13"/>
      <c r="H5" s="9"/>
      <c r="I5" s="9"/>
      <c r="J5" s="10">
        <f>'CPB Data'!D5</f>
        <v>2.4799999999999999E-2</v>
      </c>
      <c r="L5" s="10">
        <f>'CPB Data'!G5/100</f>
        <v>0.38600000000000001</v>
      </c>
      <c r="M5" s="10">
        <f>'CPB Data'!C5</f>
        <v>0.1353</v>
      </c>
      <c r="N5" s="10">
        <f>'CPB Data'!B5</f>
        <v>6.7400000000000002E-2</v>
      </c>
      <c r="O5" s="10">
        <f>MEDIAN(Inflatie!B5:B13)/100</f>
        <v>7.4999999999999997E-2</v>
      </c>
      <c r="P5" s="10">
        <f t="shared" si="0"/>
        <v>-1.2164000000000029E-3</v>
      </c>
      <c r="S5" s="10">
        <f>'AMECO Potential GDP'!C13</f>
        <v>3.2604801146542295E-2</v>
      </c>
      <c r="T5" s="10"/>
      <c r="U5" s="10">
        <f>'AMECO Output Gap'!B11/100</f>
        <v>2.6000000000000002E-2</v>
      </c>
      <c r="X5" s="10">
        <f t="shared" si="7"/>
        <v>-1.3716426810178721E-2</v>
      </c>
      <c r="Y5" s="10">
        <f t="shared" si="8"/>
        <v>-1.3766158356577161E-2</v>
      </c>
      <c r="Z5" s="10">
        <f t="shared" si="9"/>
        <v>-1.6395279117530498E-2</v>
      </c>
      <c r="AA5" s="10">
        <f t="shared" si="1"/>
        <v>2.6000000000000002E-2</v>
      </c>
      <c r="AB5" s="10">
        <f t="shared" si="2"/>
        <v>9.6047208824695043E-3</v>
      </c>
      <c r="AC5" s="10">
        <f t="shared" si="10"/>
        <v>1.2233841643422842E-2</v>
      </c>
      <c r="AD5" s="10">
        <f t="shared" si="3"/>
        <v>-1.545991663016574E-2</v>
      </c>
      <c r="AE5" s="10">
        <f t="shared" si="11"/>
        <v>-6.9782558356577165E-2</v>
      </c>
      <c r="AF5" s="10">
        <f t="shared" si="12"/>
        <v>0.37187889484622022</v>
      </c>
      <c r="AG5" s="10">
        <f t="shared" si="4"/>
        <v>0.1444171674705183</v>
      </c>
      <c r="AH5" s="10">
        <f t="shared" si="13"/>
        <v>0.35858210245897432</v>
      </c>
      <c r="AI5" s="10">
        <f t="shared" si="5"/>
        <v>0.40187889484622019</v>
      </c>
      <c r="AK5" s="24">
        <f t="shared" si="14"/>
        <v>-8.0721149305272411E-2</v>
      </c>
      <c r="AL5" s="24">
        <f t="shared" si="15"/>
        <v>-4.9261083743842415E-2</v>
      </c>
      <c r="AM5" s="24">
        <f t="shared" si="16"/>
        <v>-3.1460065561429995E-2</v>
      </c>
      <c r="AN5" s="10">
        <f t="shared" si="17"/>
        <v>2.6788523073517766E-3</v>
      </c>
      <c r="AO5" s="10">
        <f t="shared" si="6"/>
        <v>-6.8566158356577159E-2</v>
      </c>
    </row>
    <row r="6" spans="1:42" ht="15.75" customHeight="1">
      <c r="A6" s="6">
        <f>'CPB Data'!A6:A57</f>
        <v>1975</v>
      </c>
      <c r="B6" s="7">
        <v>0</v>
      </c>
      <c r="C6" s="13">
        <v>0.02</v>
      </c>
      <c r="D6" s="13"/>
      <c r="E6" s="13"/>
      <c r="H6" s="9"/>
      <c r="I6" s="9"/>
      <c r="J6" s="10">
        <f>'CPB Data'!D6</f>
        <v>5.9999999999999995E-4</v>
      </c>
      <c r="L6" s="10">
        <f>'CPB Data'!G6/100</f>
        <v>0.39399999999999996</v>
      </c>
      <c r="M6" s="10">
        <f>'CPB Data'!C6</f>
        <v>0.1062</v>
      </c>
      <c r="N6" s="10">
        <f>'CPB Data'!B6</f>
        <v>7.1900000000000006E-2</v>
      </c>
      <c r="O6" s="10">
        <f>MEDIAN(Inflatie!B6:B14)/100</f>
        <v>7.5999999999999998E-2</v>
      </c>
      <c r="P6" s="10">
        <f t="shared" si="0"/>
        <v>-2.7728599999999999E-2</v>
      </c>
      <c r="S6" s="10">
        <f>'AMECO Potential GDP'!C14</f>
        <v>2.7411519777932103E-2</v>
      </c>
      <c r="T6" s="10"/>
      <c r="U6" s="10">
        <f>'AMECO Output Gap'!B12/100</f>
        <v>-1E-3</v>
      </c>
      <c r="X6" s="10">
        <f t="shared" si="7"/>
        <v>-1.3498783142156207E-2</v>
      </c>
      <c r="Y6" s="10">
        <f t="shared" si="8"/>
        <v>-1.4011363282734722E-2</v>
      </c>
      <c r="Z6" s="10">
        <f t="shared" si="9"/>
        <v>-1.6395279117530498E-2</v>
      </c>
      <c r="AA6" s="10">
        <f t="shared" si="1"/>
        <v>-1E-3</v>
      </c>
      <c r="AB6" s="10">
        <f t="shared" si="2"/>
        <v>-1.7395279117530499E-2</v>
      </c>
      <c r="AC6" s="10">
        <f t="shared" si="10"/>
        <v>-1.5011363282734721E-2</v>
      </c>
      <c r="AD6" s="10">
        <f t="shared" si="3"/>
        <v>-4.4434948220386808E-2</v>
      </c>
      <c r="AE6" s="10">
        <f t="shared" si="11"/>
        <v>-6.2339963282734723E-2</v>
      </c>
      <c r="AF6" s="10">
        <f t="shared" si="12"/>
        <v>0.37607328376712523</v>
      </c>
      <c r="AG6" s="10">
        <f t="shared" si="4"/>
        <v>0.1169971674705183</v>
      </c>
      <c r="AH6" s="10">
        <f t="shared" si="13"/>
        <v>0.35967811418278189</v>
      </c>
      <c r="AI6" s="10">
        <f t="shared" si="5"/>
        <v>0.39607328376712525</v>
      </c>
      <c r="AK6" s="24">
        <f t="shared" si="14"/>
        <v>1.1278910900925032E-2</v>
      </c>
      <c r="AL6" s="24">
        <f t="shared" si="15"/>
        <v>2.0725388601036121E-2</v>
      </c>
      <c r="AM6" s="24">
        <f t="shared" si="16"/>
        <v>-9.4464777001110889E-3</v>
      </c>
      <c r="AN6" s="10">
        <f t="shared" si="17"/>
        <v>2.1764366802251404E-4</v>
      </c>
      <c r="AO6" s="10">
        <f t="shared" si="6"/>
        <v>-3.4611363282734724E-2</v>
      </c>
    </row>
    <row r="7" spans="1:42" ht="15.75" customHeight="1">
      <c r="A7" s="6">
        <f>'CPB Data'!A7:A58</f>
        <v>1976</v>
      </c>
      <c r="B7" s="7">
        <v>0</v>
      </c>
      <c r="C7" s="13">
        <v>0.03</v>
      </c>
      <c r="D7" s="13"/>
      <c r="E7" s="13"/>
      <c r="H7" s="9"/>
      <c r="I7" s="9"/>
      <c r="J7" s="10">
        <f>'CPB Data'!D7</f>
        <v>8.5000000000000006E-3</v>
      </c>
      <c r="L7" s="10">
        <f>'CPB Data'!G7/100</f>
        <v>0.39200000000000002</v>
      </c>
      <c r="M7" s="10">
        <f>'CPB Data'!C7</f>
        <v>0.13900000000000001</v>
      </c>
      <c r="N7" s="10">
        <f>'CPB Data'!B7</f>
        <v>7.0800000000000002E-2</v>
      </c>
      <c r="O7" s="10">
        <f>MEDIAN(Inflatie!B7:B15)/100</f>
        <v>7.8E-2</v>
      </c>
      <c r="P7" s="10">
        <f t="shared" si="0"/>
        <v>-1.9253600000000003E-2</v>
      </c>
      <c r="S7" s="10">
        <f>'AMECO Potential GDP'!C15</f>
        <v>2.7017899358324993E-2</v>
      </c>
      <c r="T7" s="10"/>
      <c r="U7" s="10">
        <f>'AMECO Output Gap'!B13/100</f>
        <v>1.6E-2</v>
      </c>
      <c r="X7" s="10">
        <f t="shared" si="7"/>
        <v>-1.0740000903529298E-2</v>
      </c>
      <c r="Y7" s="10">
        <f t="shared" si="8"/>
        <v>-1.125195683565451E-2</v>
      </c>
      <c r="Z7" s="10">
        <f t="shared" si="9"/>
        <v>-1.6395279117530498E-2</v>
      </c>
      <c r="AA7" s="10">
        <f t="shared" si="1"/>
        <v>1.6E-2</v>
      </c>
      <c r="AB7" s="10">
        <f t="shared" si="2"/>
        <v>-3.952791175304976E-4</v>
      </c>
      <c r="AC7" s="10">
        <f t="shared" si="10"/>
        <v>4.7480431643454907E-3</v>
      </c>
      <c r="AD7" s="10">
        <f t="shared" si="3"/>
        <v>-2.5451551494506851E-2</v>
      </c>
      <c r="AE7" s="10">
        <f t="shared" si="11"/>
        <v>-6.9005556835654513E-2</v>
      </c>
      <c r="AF7" s="10">
        <f t="shared" si="12"/>
        <v>0.35390215221718013</v>
      </c>
      <c r="AG7" s="10">
        <f t="shared" si="4"/>
        <v>0.14433716747051831</v>
      </c>
      <c r="AH7" s="10">
        <f t="shared" si="13"/>
        <v>0.33690997264089656</v>
      </c>
      <c r="AI7" s="10">
        <f t="shared" si="5"/>
        <v>0.38390215221718016</v>
      </c>
      <c r="AK7" s="24">
        <f t="shared" si="14"/>
        <v>-5.8954284994288675E-2</v>
      </c>
      <c r="AL7" s="24">
        <f t="shared" si="15"/>
        <v>-5.0761421319795996E-3</v>
      </c>
      <c r="AM7" s="24">
        <f t="shared" si="16"/>
        <v>-5.3878142862309075E-2</v>
      </c>
      <c r="AN7" s="10">
        <f t="shared" si="17"/>
        <v>2.7587822386269095E-3</v>
      </c>
      <c r="AO7" s="10">
        <f t="shared" si="6"/>
        <v>-4.9751956835654511E-2</v>
      </c>
    </row>
    <row r="8" spans="1:42" ht="15.75" customHeight="1">
      <c r="A8" s="6">
        <f>'CPB Data'!A8:A59</f>
        <v>1977</v>
      </c>
      <c r="B8" s="7">
        <v>1</v>
      </c>
      <c r="C8" s="13">
        <v>0.02</v>
      </c>
      <c r="D8" s="13"/>
      <c r="E8" s="13"/>
      <c r="H8" s="9"/>
      <c r="I8" s="9"/>
      <c r="J8" s="10">
        <f>'CPB Data'!D8</f>
        <v>2.1299999999999999E-2</v>
      </c>
      <c r="L8" s="10">
        <f>'CPB Data'!G8/100</f>
        <v>0.39</v>
      </c>
      <c r="M8" s="10">
        <f>'CPB Data'!C8</f>
        <v>8.1299999999999997E-2</v>
      </c>
      <c r="N8" s="10">
        <f>'CPB Data'!B8</f>
        <v>7.2700000000000001E-2</v>
      </c>
      <c r="O8" s="10">
        <f>MEDIAN(Inflatie!B8:B16)/100</f>
        <v>7.8E-2</v>
      </c>
      <c r="P8" s="10">
        <f t="shared" si="0"/>
        <v>-7.0530000000000002E-3</v>
      </c>
      <c r="S8" s="10">
        <f>'AMECO Potential GDP'!C16</f>
        <v>2.4991779020059113E-2</v>
      </c>
      <c r="T8" s="10"/>
      <c r="U8" s="10">
        <f>'AMECO Output Gap'!B14/100</f>
        <v>1.6E-2</v>
      </c>
      <c r="X8" s="10">
        <f t="shared" si="7"/>
        <v>-1.0958906850553445E-2</v>
      </c>
      <c r="Y8" s="10">
        <f t="shared" si="8"/>
        <v>-1.213864187743249E-2</v>
      </c>
      <c r="Z8" s="10">
        <f t="shared" si="9"/>
        <v>-1.0958906850553445E-2</v>
      </c>
      <c r="AA8" s="10">
        <f t="shared" si="1"/>
        <v>1.6E-2</v>
      </c>
      <c r="AB8" s="10">
        <f t="shared" si="2"/>
        <v>5.0410931494465558E-3</v>
      </c>
      <c r="AC8" s="10">
        <f t="shared" si="10"/>
        <v>3.8613581225675105E-3</v>
      </c>
      <c r="AD8" s="10">
        <f t="shared" si="3"/>
        <v>-2.014403077575105E-2</v>
      </c>
      <c r="AE8" s="10">
        <f t="shared" si="11"/>
        <v>-6.0491641877432487E-2</v>
      </c>
      <c r="AF8" s="10">
        <f t="shared" si="12"/>
        <v>0.34642536348277314</v>
      </c>
      <c r="AG8" s="10">
        <f t="shared" si="4"/>
        <v>9.1055344110332059E-2</v>
      </c>
      <c r="AH8" s="10">
        <f t="shared" si="13"/>
        <v>0.32662159296147159</v>
      </c>
      <c r="AI8" s="10">
        <f t="shared" si="5"/>
        <v>0.36642536348277316</v>
      </c>
      <c r="AK8" s="24">
        <f t="shared" si="14"/>
        <v>-2.1126711684473443E-2</v>
      </c>
      <c r="AL8" s="24">
        <f t="shared" si="15"/>
        <v>-5.1020408163264808E-3</v>
      </c>
      <c r="AM8" s="24">
        <f t="shared" si="16"/>
        <v>-1.6024670868146962E-2</v>
      </c>
      <c r="AN8" s="10">
        <f t="shared" si="17"/>
        <v>-2.1890594702414674E-4</v>
      </c>
      <c r="AO8" s="10">
        <f t="shared" si="6"/>
        <v>-5.3438641877432483E-2</v>
      </c>
    </row>
    <row r="9" spans="1:42" ht="15.75" customHeight="1">
      <c r="A9" s="6">
        <f>'CPB Data'!A9:A60</f>
        <v>1978</v>
      </c>
      <c r="B9" s="7">
        <v>0</v>
      </c>
      <c r="C9" s="13">
        <v>0.02</v>
      </c>
      <c r="D9" s="13"/>
      <c r="E9" s="13"/>
      <c r="H9" s="9"/>
      <c r="I9" s="9"/>
      <c r="J9" s="10">
        <f>'CPB Data'!D9</f>
        <v>9.7999999999999997E-3</v>
      </c>
      <c r="L9" s="10">
        <f>'CPB Data'!G9/100</f>
        <v>0.40200000000000002</v>
      </c>
      <c r="M9" s="10">
        <f>'CPB Data'!C9</f>
        <v>8.0399999999999999E-2</v>
      </c>
      <c r="N9" s="10">
        <f>'CPB Data'!B9</f>
        <v>7.6700000000000004E-2</v>
      </c>
      <c r="O9" s="10">
        <f>MEDIAN(Inflatie!B9:B17)/100</f>
        <v>7.8E-2</v>
      </c>
      <c r="P9" s="10">
        <f t="shared" si="0"/>
        <v>-2.1033400000000004E-2</v>
      </c>
      <c r="S9" s="10">
        <f>'AMECO Potential GDP'!C17</f>
        <v>2.3099133782483072E-2</v>
      </c>
      <c r="T9" s="10"/>
      <c r="U9" s="10">
        <f>'AMECO Output Gap'!B15/100</f>
        <v>0.02</v>
      </c>
      <c r="X9" s="10">
        <f t="shared" si="7"/>
        <v>-9.5139789408829525E-3</v>
      </c>
      <c r="Y9" s="10">
        <f t="shared" si="8"/>
        <v>-1.0710681659222284E-2</v>
      </c>
      <c r="Z9" s="10">
        <f t="shared" si="9"/>
        <v>-1.0958906850553445E-2</v>
      </c>
      <c r="AA9" s="10">
        <f t="shared" si="1"/>
        <v>0.02</v>
      </c>
      <c r="AB9" s="10">
        <f t="shared" si="2"/>
        <v>9.0410931494465559E-3</v>
      </c>
      <c r="AC9" s="10">
        <f t="shared" si="10"/>
        <v>9.2893183407777163E-3</v>
      </c>
      <c r="AD9" s="10">
        <f t="shared" si="3"/>
        <v>-1.679688893232438E-2</v>
      </c>
      <c r="AE9" s="10">
        <f t="shared" si="11"/>
        <v>-6.1544081659222288E-2</v>
      </c>
      <c r="AF9" s="10">
        <f t="shared" si="12"/>
        <v>0.33687069207002523</v>
      </c>
      <c r="AG9" s="10">
        <f t="shared" si="4"/>
        <v>8.0855344110332072E-2</v>
      </c>
      <c r="AH9" s="10">
        <f t="shared" si="13"/>
        <v>0.3170011397539933</v>
      </c>
      <c r="AI9" s="10">
        <f t="shared" si="5"/>
        <v>0.35687069207002525</v>
      </c>
      <c r="AK9" s="24">
        <f t="shared" si="14"/>
        <v>-2.7580750198803017E-2</v>
      </c>
      <c r="AL9" s="24">
        <f t="shared" si="15"/>
        <v>3.0769230769230882E-2</v>
      </c>
      <c r="AM9" s="24">
        <f t="shared" si="16"/>
        <v>-5.8349980968033899E-2</v>
      </c>
      <c r="AN9" s="10">
        <f t="shared" si="17"/>
        <v>1.4449279096704921E-3</v>
      </c>
      <c r="AO9" s="10">
        <f t="shared" si="6"/>
        <v>-4.0510681659222281E-2</v>
      </c>
    </row>
    <row r="10" spans="1:42" ht="15.75" customHeight="1">
      <c r="A10" s="6">
        <f>'CPB Data'!A10:A61</f>
        <v>1979</v>
      </c>
      <c r="B10" s="7">
        <v>0</v>
      </c>
      <c r="C10" s="13">
        <v>0.02</v>
      </c>
      <c r="D10" s="13"/>
      <c r="E10" s="13"/>
      <c r="H10" s="9"/>
      <c r="I10" s="9"/>
      <c r="J10" s="10">
        <f>'CPB Data'!D10</f>
        <v>7.7000000000000002E-3</v>
      </c>
      <c r="L10" s="10">
        <f>'CPB Data'!G10/100</f>
        <v>0.41799999999999998</v>
      </c>
      <c r="M10" s="10">
        <f>'CPB Data'!C10</f>
        <v>7.0999999999999994E-2</v>
      </c>
      <c r="N10" s="10">
        <f>'CPB Data'!B10</f>
        <v>7.7799999999999994E-2</v>
      </c>
      <c r="O10" s="10">
        <f>MEDIAN(Inflatie!B10:B18)/100</f>
        <v>7.8E-2</v>
      </c>
      <c r="P10" s="10">
        <f t="shared" si="0"/>
        <v>-2.4820399999999999E-2</v>
      </c>
      <c r="S10" s="10">
        <f>'AMECO Potential GDP'!C18</f>
        <v>2.226403261210419E-2</v>
      </c>
      <c r="T10" s="10"/>
      <c r="U10" s="10">
        <f>'AMECO Output Gap'!B16/100</f>
        <v>1.8000000000000002E-2</v>
      </c>
      <c r="X10" s="10">
        <f t="shared" si="7"/>
        <v>-7.464680364409346E-3</v>
      </c>
      <c r="Y10" s="10">
        <f t="shared" si="8"/>
        <v>-8.9078734871621927E-3</v>
      </c>
      <c r="Z10" s="10">
        <f t="shared" si="9"/>
        <v>-1.0958906850553445E-2</v>
      </c>
      <c r="AA10" s="10">
        <f t="shared" si="1"/>
        <v>1.8000000000000002E-2</v>
      </c>
      <c r="AB10" s="10">
        <f t="shared" si="2"/>
        <v>7.0410931494465576E-3</v>
      </c>
      <c r="AC10" s="10">
        <f t="shared" si="10"/>
        <v>9.0921265128378094E-3</v>
      </c>
      <c r="AD10" s="10">
        <f t="shared" si="3"/>
        <v>-1.8822368284549851E-2</v>
      </c>
      <c r="AE10" s="10">
        <f t="shared" si="11"/>
        <v>-6.1428273487162191E-2</v>
      </c>
      <c r="AF10" s="10">
        <f t="shared" si="12"/>
        <v>0.33243523694082788</v>
      </c>
      <c r="AG10" s="10">
        <f t="shared" si="4"/>
        <v>7.1395344110332062E-2</v>
      </c>
      <c r="AH10" s="10">
        <f t="shared" si="13"/>
        <v>0.31232423877599758</v>
      </c>
      <c r="AI10" s="10">
        <f t="shared" si="5"/>
        <v>0.3524352369408279</v>
      </c>
      <c r="AK10" s="24">
        <f t="shared" si="14"/>
        <v>-1.3166640000476404E-2</v>
      </c>
      <c r="AL10" s="24">
        <f t="shared" si="15"/>
        <v>3.9800995024875441E-2</v>
      </c>
      <c r="AM10" s="24">
        <f t="shared" si="16"/>
        <v>-5.2967635025351845E-2</v>
      </c>
      <c r="AN10" s="10">
        <f t="shared" si="17"/>
        <v>2.0492985764736064E-3</v>
      </c>
      <c r="AO10" s="10">
        <f t="shared" si="6"/>
        <v>-3.6607873487162192E-2</v>
      </c>
    </row>
    <row r="11" spans="1:42" ht="15.75" customHeight="1">
      <c r="A11" s="6">
        <f>'CPB Data'!A11:A62</f>
        <v>1980</v>
      </c>
      <c r="B11" s="7">
        <v>0</v>
      </c>
      <c r="C11" s="13">
        <v>0.02</v>
      </c>
      <c r="D11" s="13"/>
      <c r="E11" s="13"/>
      <c r="H11" s="9"/>
      <c r="I11" s="9"/>
      <c r="J11" s="10">
        <f>'CPB Data'!D11</f>
        <v>-2.8E-3</v>
      </c>
      <c r="L11" s="10">
        <f>'CPB Data'!G11/100</f>
        <v>0.441</v>
      </c>
      <c r="M11" s="10">
        <f>'CPB Data'!C11</f>
        <v>7.8799999999999995E-2</v>
      </c>
      <c r="N11" s="10">
        <f>'CPB Data'!B11</f>
        <v>8.3500000000000005E-2</v>
      </c>
      <c r="O11" s="10">
        <f>MEDIAN(Inflatie!B11:B19)/100</f>
        <v>7.8E-2</v>
      </c>
      <c r="P11" s="10">
        <f t="shared" si="0"/>
        <v>-3.9623499999999999E-2</v>
      </c>
      <c r="S11" s="10">
        <f>'AMECO Potential GDP'!C19</f>
        <v>2.208588957055202E-2</v>
      </c>
      <c r="T11" s="10"/>
      <c r="U11" s="10">
        <f>'AMECO Output Gap'!B17/100</f>
        <v>9.0000000000000011E-3</v>
      </c>
      <c r="X11" s="10">
        <f t="shared" si="7"/>
        <v>-6.7873126655991481E-3</v>
      </c>
      <c r="Y11" s="10">
        <f t="shared" si="8"/>
        <v>-8.5342839114417798E-3</v>
      </c>
      <c r="Z11" s="10">
        <f t="shared" si="9"/>
        <v>-1.0958906850553445E-2</v>
      </c>
      <c r="AA11" s="10">
        <f t="shared" si="1"/>
        <v>9.0000000000000011E-3</v>
      </c>
      <c r="AB11" s="10">
        <f t="shared" si="2"/>
        <v>-1.9589068505534435E-3</v>
      </c>
      <c r="AC11" s="10">
        <f t="shared" si="10"/>
        <v>4.6571608855822122E-4</v>
      </c>
      <c r="AD11" s="10">
        <f t="shared" si="3"/>
        <v>-2.9989804688281507E-2</v>
      </c>
      <c r="AE11" s="10">
        <f t="shared" si="11"/>
        <v>-6.5357783911441786E-2</v>
      </c>
      <c r="AF11" s="10">
        <f t="shared" si="12"/>
        <v>0.33569937530213245</v>
      </c>
      <c r="AG11" s="10">
        <f t="shared" si="4"/>
        <v>7.8295344110332066E-2</v>
      </c>
      <c r="AH11" s="10">
        <f t="shared" si="13"/>
        <v>0.31564841805485966</v>
      </c>
      <c r="AI11" s="10">
        <f t="shared" si="5"/>
        <v>0.35569937530213247</v>
      </c>
      <c r="AK11" s="24">
        <f t="shared" si="14"/>
        <v>9.8188699589796258E-3</v>
      </c>
      <c r="AL11" s="24">
        <f t="shared" si="15"/>
        <v>5.5023923444976086E-2</v>
      </c>
      <c r="AM11" s="24">
        <f t="shared" si="16"/>
        <v>-4.520505348599646E-2</v>
      </c>
      <c r="AN11" s="10">
        <f t="shared" si="17"/>
        <v>6.7736769881019798E-4</v>
      </c>
      <c r="AO11" s="10">
        <f t="shared" si="6"/>
        <v>-2.5734283911441787E-2</v>
      </c>
    </row>
    <row r="12" spans="1:42" ht="15.75" customHeight="1">
      <c r="A12" s="6">
        <f>'CPB Data'!A12:A63</f>
        <v>1981</v>
      </c>
      <c r="B12" s="7">
        <v>1</v>
      </c>
      <c r="C12" s="13">
        <v>0.01</v>
      </c>
      <c r="D12" s="13"/>
      <c r="E12" s="13"/>
      <c r="H12" s="9"/>
      <c r="I12" s="9"/>
      <c r="J12" s="10">
        <f>'CPB Data'!D12</f>
        <v>-5.4000000000000003E-3</v>
      </c>
      <c r="L12" s="10">
        <f>'CPB Data'!G12/100</f>
        <v>0.47399999999999998</v>
      </c>
      <c r="M12" s="10">
        <f>'CPB Data'!C12</f>
        <v>5.5399999999999998E-2</v>
      </c>
      <c r="N12" s="10">
        <f>'CPB Data'!B12</f>
        <v>9.3600000000000003E-2</v>
      </c>
      <c r="O12" s="10">
        <f>MEDIAN(Inflatie!B12:B20)/100</f>
        <v>6.7000000000000004E-2</v>
      </c>
      <c r="P12" s="10">
        <f t="shared" si="0"/>
        <v>-4.9766400000000002E-2</v>
      </c>
      <c r="S12" s="10">
        <f>'AMECO Potential GDP'!C20</f>
        <v>1.4405762304922076E-2</v>
      </c>
      <c r="T12" s="10"/>
      <c r="U12" s="10">
        <f>'AMECO Output Gap'!B18/100</f>
        <v>-1.3000000000000001E-2</v>
      </c>
      <c r="X12" s="10">
        <f t="shared" si="7"/>
        <v>-5.0613073219565622E-3</v>
      </c>
      <c r="Y12" s="10">
        <f t="shared" si="8"/>
        <v>-6.6489147528916047E-3</v>
      </c>
      <c r="Z12" s="10">
        <f t="shared" si="9"/>
        <v>-5.0613073219565622E-3</v>
      </c>
      <c r="AA12" s="10">
        <f t="shared" si="1"/>
        <v>-1.3000000000000001E-2</v>
      </c>
      <c r="AB12" s="10">
        <f t="shared" si="2"/>
        <v>-1.8061307321956564E-2</v>
      </c>
      <c r="AC12" s="10">
        <f t="shared" si="10"/>
        <v>-1.9648914752891607E-2</v>
      </c>
      <c r="AD12" s="10">
        <f t="shared" si="3"/>
        <v>-5.222186132296254E-2</v>
      </c>
      <c r="AE12" s="10">
        <f t="shared" si="11"/>
        <v>-6.1015314752891604E-2</v>
      </c>
      <c r="AF12" s="10">
        <f t="shared" si="12"/>
        <v>0.36496318377143139</v>
      </c>
      <c r="AG12" s="10">
        <f t="shared" si="4"/>
        <v>6.2996784393173938E-2</v>
      </c>
      <c r="AH12" s="10">
        <f t="shared" si="13"/>
        <v>0.34172673204662585</v>
      </c>
      <c r="AI12" s="10">
        <f t="shared" si="5"/>
        <v>0.3749631837714314</v>
      </c>
      <c r="AK12" s="24">
        <f t="shared" si="14"/>
        <v>8.7172662871240814E-2</v>
      </c>
      <c r="AL12" s="24">
        <f t="shared" si="15"/>
        <v>7.4829931972788977E-2</v>
      </c>
      <c r="AM12" s="24">
        <f t="shared" si="16"/>
        <v>1.2342730898451837E-2</v>
      </c>
      <c r="AN12" s="10">
        <f t="shared" si="17"/>
        <v>1.7260053436425858E-3</v>
      </c>
      <c r="AO12" s="10">
        <f t="shared" si="6"/>
        <v>-1.1248914752891602E-2</v>
      </c>
    </row>
    <row r="13" spans="1:42" ht="15.75" customHeight="1">
      <c r="A13" s="6">
        <f>'CPB Data'!A13:A64</f>
        <v>1982</v>
      </c>
      <c r="B13" s="7">
        <v>1</v>
      </c>
      <c r="C13" s="13">
        <v>0.01</v>
      </c>
      <c r="D13" s="13"/>
      <c r="E13" s="13"/>
      <c r="H13" s="9"/>
      <c r="I13" s="9"/>
      <c r="J13" s="10">
        <f>'CPB Data'!D13</f>
        <v>-1.09E-2</v>
      </c>
      <c r="L13" s="10">
        <f>'CPB Data'!G13/100</f>
        <v>0.53</v>
      </c>
      <c r="M13" s="10">
        <f>'CPB Data'!C13</f>
        <v>3.3399999999999999E-2</v>
      </c>
      <c r="N13" s="10">
        <f>'CPB Data'!B13</f>
        <v>0.1013</v>
      </c>
      <c r="O13" s="10">
        <f>MEDIAN(Inflatie!B13:B21)/100</f>
        <v>6.7000000000000004E-2</v>
      </c>
      <c r="P13" s="10">
        <f t="shared" si="0"/>
        <v>-6.4589000000000008E-2</v>
      </c>
      <c r="S13" s="10">
        <f>'AMECO Potential GDP'!C21</f>
        <v>9.4674556213016903E-3</v>
      </c>
      <c r="T13" s="10"/>
      <c r="U13" s="10">
        <f>'AMECO Output Gap'!B19/100</f>
        <v>-3.4000000000000002E-2</v>
      </c>
      <c r="X13" s="10">
        <f t="shared" si="7"/>
        <v>4.1154282397899153E-3</v>
      </c>
      <c r="Y13" s="10">
        <f t="shared" si="8"/>
        <v>5.3449582653852263E-3</v>
      </c>
      <c r="Z13" s="10">
        <f t="shared" si="9"/>
        <v>4.1154282397899153E-3</v>
      </c>
      <c r="AA13" s="10">
        <f t="shared" si="1"/>
        <v>-3.4000000000000002E-2</v>
      </c>
      <c r="AB13" s="10">
        <f t="shared" si="2"/>
        <v>-2.9884571760210088E-2</v>
      </c>
      <c r="AC13" s="10">
        <f t="shared" si="10"/>
        <v>-2.8655041734614778E-2</v>
      </c>
      <c r="AD13" s="10">
        <f t="shared" si="3"/>
        <v>-7.2213986012804182E-2</v>
      </c>
      <c r="AE13" s="10">
        <f t="shared" si="11"/>
        <v>-5.8344041734614778E-2</v>
      </c>
      <c r="AF13" s="10">
        <f t="shared" si="12"/>
        <v>0.41786193734051424</v>
      </c>
      <c r="AG13" s="10">
        <f t="shared" si="4"/>
        <v>4.4790743056126049E-2</v>
      </c>
      <c r="AH13" s="10">
        <f t="shared" si="13"/>
        <v>0.38881299864401325</v>
      </c>
      <c r="AI13" s="10">
        <f t="shared" si="5"/>
        <v>0.42786193734051425</v>
      </c>
      <c r="AK13" s="24">
        <f t="shared" si="14"/>
        <v>0.14494271181668616</v>
      </c>
      <c r="AL13" s="24">
        <f t="shared" si="15"/>
        <v>0.11814345991561193</v>
      </c>
      <c r="AM13" s="24">
        <f t="shared" si="16"/>
        <v>2.6799251901074239E-2</v>
      </c>
      <c r="AN13" s="10">
        <f t="shared" si="17"/>
        <v>9.1767355617464776E-3</v>
      </c>
      <c r="AO13" s="10">
        <f t="shared" si="6"/>
        <v>6.2449582653852295E-3</v>
      </c>
    </row>
    <row r="14" spans="1:42" ht="15.75" customHeight="1">
      <c r="A14" s="6">
        <f>'CPB Data'!A14:A65</f>
        <v>1983</v>
      </c>
      <c r="B14" s="7">
        <v>0</v>
      </c>
      <c r="C14" s="13">
        <v>0.03</v>
      </c>
      <c r="D14" s="13"/>
      <c r="E14" s="13"/>
      <c r="H14" s="9"/>
      <c r="I14" s="9"/>
      <c r="J14" s="10">
        <f>'CPB Data'!D14</f>
        <v>2.0000000000000001E-4</v>
      </c>
      <c r="L14" s="10">
        <f>'CPB Data'!G14/100</f>
        <v>0.59099999999999997</v>
      </c>
      <c r="M14" s="10">
        <f>'CPB Data'!C14</f>
        <v>3.4299999999999997E-2</v>
      </c>
      <c r="N14" s="10">
        <f>'CPB Data'!B14</f>
        <v>9.9299999999999999E-2</v>
      </c>
      <c r="O14" s="10">
        <f>MEDIAN(Inflatie!B14:B22)/100</f>
        <v>6.5000000000000002E-2</v>
      </c>
      <c r="P14" s="10">
        <f t="shared" si="0"/>
        <v>-5.8486299999999998E-2</v>
      </c>
      <c r="S14" s="10">
        <f>'AMECO Potential GDP'!C22</f>
        <v>1.5240328253223856E-2</v>
      </c>
      <c r="T14" s="10"/>
      <c r="U14" s="10">
        <f>'AMECO Output Gap'!B20/100</f>
        <v>-2.8999999999999998E-2</v>
      </c>
      <c r="X14" s="10">
        <f t="shared" si="7"/>
        <v>9.6394694042915945E-3</v>
      </c>
      <c r="Y14" s="10">
        <f t="shared" si="8"/>
        <v>1.2226332019590731E-2</v>
      </c>
      <c r="Z14" s="10">
        <f t="shared" si="9"/>
        <v>4.1154282397899153E-3</v>
      </c>
      <c r="AA14" s="10">
        <f t="shared" si="1"/>
        <v>-2.8999999999999998E-2</v>
      </c>
      <c r="AB14" s="10">
        <f t="shared" si="2"/>
        <v>-2.4884571760210084E-2</v>
      </c>
      <c r="AC14" s="10">
        <f t="shared" si="10"/>
        <v>-1.6773667980409267E-2</v>
      </c>
      <c r="AD14" s="10">
        <f t="shared" si="3"/>
        <v>-7.1375001817474609E-2</v>
      </c>
      <c r="AE14" s="10">
        <f t="shared" si="11"/>
        <v>-7.6459967980409271E-2</v>
      </c>
      <c r="AF14" s="10">
        <f t="shared" si="12"/>
        <v>0.4681815715736608</v>
      </c>
      <c r="AG14" s="10">
        <f t="shared" si="4"/>
        <v>4.9350743056126044E-2</v>
      </c>
      <c r="AH14" s="10">
        <f t="shared" si="13"/>
        <v>0.43103481287131618</v>
      </c>
      <c r="AI14" s="10">
        <f t="shared" si="5"/>
        <v>0.49818157157366083</v>
      </c>
      <c r="AK14" s="24">
        <f t="shared" si="14"/>
        <v>0.12042167456889308</v>
      </c>
      <c r="AL14" s="24">
        <f t="shared" si="15"/>
        <v>0.11509433962264137</v>
      </c>
      <c r="AM14" s="24">
        <f t="shared" si="16"/>
        <v>5.327334946251705E-3</v>
      </c>
      <c r="AN14" s="10">
        <f t="shared" si="17"/>
        <v>5.5240411645016791E-3</v>
      </c>
      <c r="AO14" s="10">
        <f t="shared" si="6"/>
        <v>-1.7973667980409273E-2</v>
      </c>
    </row>
    <row r="15" spans="1:42" ht="15.75" customHeight="1">
      <c r="A15" s="6">
        <f>'CPB Data'!A15:A66</f>
        <v>1984</v>
      </c>
      <c r="B15" s="7">
        <v>0</v>
      </c>
      <c r="C15" s="13">
        <v>0.02</v>
      </c>
      <c r="D15" s="13"/>
      <c r="E15" s="13"/>
      <c r="H15" s="9"/>
      <c r="I15" s="9"/>
      <c r="J15" s="10">
        <f>'CPB Data'!D15</f>
        <v>6.0000000000000001E-3</v>
      </c>
      <c r="L15" s="10">
        <f>'CPB Data'!G15/100</f>
        <v>0.626</v>
      </c>
      <c r="M15" s="10">
        <f>'CPB Data'!C15</f>
        <v>5.4699999999999999E-2</v>
      </c>
      <c r="N15" s="10">
        <f>'CPB Data'!B15</f>
        <v>9.4600000000000004E-2</v>
      </c>
      <c r="O15" s="10">
        <f>MEDIAN(Inflatie!B15:B23)/100</f>
        <v>0.06</v>
      </c>
      <c r="P15" s="10">
        <f t="shared" si="0"/>
        <v>-5.3219600000000006E-2</v>
      </c>
      <c r="S15" s="10">
        <f>'AMECO Potential GDP'!C23</f>
        <v>1.2702078521940052E-2</v>
      </c>
      <c r="T15" s="10"/>
      <c r="U15" s="10">
        <f>'AMECO Output Gap'!B21/100</f>
        <v>-1.2E-2</v>
      </c>
      <c r="X15" s="10">
        <f t="shared" si="7"/>
        <v>8.2605572470277212E-3</v>
      </c>
      <c r="Y15" s="10">
        <f t="shared" si="8"/>
        <v>1.0427555524203885E-2</v>
      </c>
      <c r="Z15" s="10">
        <f t="shared" si="9"/>
        <v>4.1154282397899153E-3</v>
      </c>
      <c r="AA15" s="10">
        <f t="shared" si="1"/>
        <v>-1.2E-2</v>
      </c>
      <c r="AB15" s="10">
        <f t="shared" si="2"/>
        <v>-7.8845717602100858E-3</v>
      </c>
      <c r="AC15" s="10">
        <f t="shared" si="10"/>
        <v>-1.5724444757961153E-3</v>
      </c>
      <c r="AD15" s="10">
        <f t="shared" si="3"/>
        <v>-5.4557264423951743E-2</v>
      </c>
      <c r="AE15" s="10">
        <f t="shared" si="11"/>
        <v>-6.8792044475796121E-2</v>
      </c>
      <c r="AF15" s="10">
        <f t="shared" si="12"/>
        <v>0.49336884422559896</v>
      </c>
      <c r="AG15" s="10">
        <f t="shared" si="4"/>
        <v>6.3030743056126048E-2</v>
      </c>
      <c r="AH15" s="10">
        <f t="shared" si="13"/>
        <v>0.45125249769359282</v>
      </c>
      <c r="AI15" s="10">
        <f t="shared" si="5"/>
        <v>0.51336884422559892</v>
      </c>
      <c r="AK15" s="24">
        <f t="shared" si="14"/>
        <v>5.3798086428900271E-2</v>
      </c>
      <c r="AL15" s="24">
        <f t="shared" si="15"/>
        <v>5.9221658206429773E-2</v>
      </c>
      <c r="AM15" s="24">
        <f t="shared" si="16"/>
        <v>-5.4235717775295011E-3</v>
      </c>
      <c r="AN15" s="10">
        <f t="shared" si="17"/>
        <v>-1.3789121572638733E-3</v>
      </c>
      <c r="AO15" s="10">
        <f t="shared" si="6"/>
        <v>-1.5572444475796116E-2</v>
      </c>
    </row>
    <row r="16" spans="1:42" ht="15.75" customHeight="1">
      <c r="A16" s="6">
        <f>'CPB Data'!A16:A67</f>
        <v>1985</v>
      </c>
      <c r="B16" s="7">
        <v>0</v>
      </c>
      <c r="C16" s="13">
        <v>0.04</v>
      </c>
      <c r="D16" s="13"/>
      <c r="E16" s="13"/>
      <c r="H16" s="9"/>
      <c r="I16" s="9"/>
      <c r="J16" s="10">
        <f>'CPB Data'!D16</f>
        <v>2.4400000000000002E-2</v>
      </c>
      <c r="L16" s="10">
        <f>'CPB Data'!G16/100</f>
        <v>0.68</v>
      </c>
      <c r="M16" s="10">
        <f>'CPB Data'!C16</f>
        <v>3.4200000000000001E-2</v>
      </c>
      <c r="N16" s="10">
        <f>'CPB Data'!B16</f>
        <v>9.3899999999999997E-2</v>
      </c>
      <c r="O16" s="10">
        <f>MEDIAN(Inflatie!B16:B24)/100</f>
        <v>4.2000000000000003E-2</v>
      </c>
      <c r="P16" s="10">
        <f t="shared" si="0"/>
        <v>-3.9452000000000001E-2</v>
      </c>
      <c r="S16" s="10">
        <f>'AMECO Potential GDP'!C24</f>
        <v>1.7103762827822111E-2</v>
      </c>
      <c r="T16" s="10"/>
      <c r="U16" s="10">
        <f>'AMECO Output Gap'!B22/100</f>
        <v>-4.0000000000000001E-3</v>
      </c>
      <c r="X16" s="10">
        <f t="shared" si="7"/>
        <v>1.0071530974806764E-2</v>
      </c>
      <c r="Y16" s="10">
        <f t="shared" si="8"/>
        <v>1.2779036341715361E-2</v>
      </c>
      <c r="Z16" s="10">
        <f t="shared" si="9"/>
        <v>4.1154282397899153E-3</v>
      </c>
      <c r="AA16" s="10">
        <f t="shared" si="1"/>
        <v>-4.0000000000000001E-3</v>
      </c>
      <c r="AB16" s="10">
        <f t="shared" si="2"/>
        <v>1.1542823978991524E-4</v>
      </c>
      <c r="AC16" s="10">
        <f t="shared" si="10"/>
        <v>8.7790363417153613E-3</v>
      </c>
      <c r="AD16" s="10">
        <f t="shared" si="3"/>
        <v>-4.8875707389741944E-2</v>
      </c>
      <c r="AE16" s="10">
        <f t="shared" si="11"/>
        <v>-9.1072963658284656E-2</v>
      </c>
      <c r="AF16" s="10">
        <f t="shared" si="12"/>
        <v>0.5217373336478367</v>
      </c>
      <c r="AG16" s="10">
        <f t="shared" si="4"/>
        <v>4.8770743056126054E-2</v>
      </c>
      <c r="AH16" s="10">
        <f t="shared" si="13"/>
        <v>0.47056011264114805</v>
      </c>
      <c r="AI16" s="10">
        <f t="shared" si="5"/>
        <v>0.56173733364783673</v>
      </c>
      <c r="AK16" s="24">
        <f t="shared" si="14"/>
        <v>5.7499555868318897E-2</v>
      </c>
      <c r="AL16" s="24">
        <f t="shared" si="15"/>
        <v>8.6261980830671048E-2</v>
      </c>
      <c r="AM16" s="24">
        <f t="shared" si="16"/>
        <v>-2.8762424962352151E-2</v>
      </c>
      <c r="AN16" s="10">
        <f t="shared" si="17"/>
        <v>1.8109737277790423E-3</v>
      </c>
      <c r="AO16" s="10">
        <f t="shared" si="6"/>
        <v>-5.1620963658284655E-2</v>
      </c>
    </row>
    <row r="17" spans="1:41" ht="15.75" customHeight="1">
      <c r="A17" s="6">
        <f>'CPB Data'!A17:A68</f>
        <v>1986</v>
      </c>
      <c r="B17" s="7">
        <v>1</v>
      </c>
      <c r="C17" s="13">
        <v>0</v>
      </c>
      <c r="D17" s="13"/>
      <c r="E17" s="13"/>
      <c r="H17" s="9"/>
      <c r="I17" s="9"/>
      <c r="J17" s="10">
        <f>'CPB Data'!D17</f>
        <v>1.4500000000000001E-2</v>
      </c>
      <c r="L17" s="10">
        <f>'CPB Data'!G17/100</f>
        <v>0.69499999999999995</v>
      </c>
      <c r="M17" s="10">
        <f>'CPB Data'!C17</f>
        <v>3.4200000000000001E-2</v>
      </c>
      <c r="N17" s="10">
        <f>'CPB Data'!B17</f>
        <v>8.6300000000000002E-2</v>
      </c>
      <c r="O17" s="10">
        <f>MEDIAN(Inflatie!B17:B25)/100</f>
        <v>4.0999999999999995E-2</v>
      </c>
      <c r="P17" s="10">
        <f t="shared" si="0"/>
        <v>-4.5478499999999998E-2</v>
      </c>
      <c r="S17" s="10">
        <f>'AMECO Potential GDP'!C25</f>
        <v>2.1020179372197356E-2</v>
      </c>
      <c r="T17" s="10"/>
      <c r="U17" s="10">
        <f>'AMECO Output Gap'!B23/100</f>
        <v>3.0000000000000001E-3</v>
      </c>
      <c r="X17" s="10">
        <f t="shared" si="7"/>
        <v>1.714137617141227E-2</v>
      </c>
      <c r="Y17" s="10">
        <f t="shared" si="8"/>
        <v>2.2341003882286919E-2</v>
      </c>
      <c r="Z17" s="10">
        <f t="shared" si="9"/>
        <v>1.714137617141227E-2</v>
      </c>
      <c r="AA17" s="10">
        <f t="shared" si="1"/>
        <v>3.0000000000000001E-3</v>
      </c>
      <c r="AB17" s="10">
        <f t="shared" si="2"/>
        <v>2.0141376171412269E-2</v>
      </c>
      <c r="AC17" s="10">
        <f t="shared" si="10"/>
        <v>2.5341003882286918E-2</v>
      </c>
      <c r="AD17" s="10">
        <f t="shared" si="3"/>
        <v>-2.5472111599474483E-2</v>
      </c>
      <c r="AE17" s="10">
        <f t="shared" si="11"/>
        <v>-3.7637496117713082E-2</v>
      </c>
      <c r="AF17" s="10">
        <f t="shared" si="12"/>
        <v>0.52854562886311418</v>
      </c>
      <c r="AG17" s="10">
        <f t="shared" si="4"/>
        <v>3.081517429715264E-2</v>
      </c>
      <c r="AH17" s="10">
        <f t="shared" si="13"/>
        <v>0.47634928785896818</v>
      </c>
      <c r="AI17" s="10">
        <f t="shared" si="5"/>
        <v>0.52854562886311418</v>
      </c>
      <c r="AK17" s="24">
        <f t="shared" si="14"/>
        <v>1.3049277435593698E-2</v>
      </c>
      <c r="AL17" s="24">
        <f t="shared" si="15"/>
        <v>2.2058823529411686E-2</v>
      </c>
      <c r="AM17" s="24">
        <f t="shared" si="16"/>
        <v>-9.0095460938179883E-3</v>
      </c>
      <c r="AN17" s="10">
        <f t="shared" si="17"/>
        <v>7.0698451966055061E-3</v>
      </c>
      <c r="AO17" s="10">
        <f t="shared" si="6"/>
        <v>7.8410038822869163E-3</v>
      </c>
    </row>
    <row r="18" spans="1:41" ht="15.75" customHeight="1">
      <c r="A18" s="6">
        <f>'CPB Data'!A18:A69</f>
        <v>1987</v>
      </c>
      <c r="B18" s="7">
        <v>0</v>
      </c>
      <c r="C18" s="13">
        <v>-0.02</v>
      </c>
      <c r="D18" s="13"/>
      <c r="E18" s="13"/>
      <c r="H18" s="9"/>
      <c r="I18" s="9"/>
      <c r="J18" s="10">
        <f>'CPB Data'!D18</f>
        <v>6.4999999999999997E-3</v>
      </c>
      <c r="L18" s="10">
        <f>'CPB Data'!G18/100</f>
        <v>0.71499999999999997</v>
      </c>
      <c r="M18" s="10">
        <f>'CPB Data'!C18</f>
        <v>1.29E-2</v>
      </c>
      <c r="N18" s="10">
        <f>'CPB Data'!B18</f>
        <v>8.2900000000000001E-2</v>
      </c>
      <c r="O18" s="10">
        <f>MEDIAN(Inflatie!B18:B26)/100</f>
        <v>3.3000000000000002E-2</v>
      </c>
      <c r="P18" s="10">
        <f t="shared" si="0"/>
        <v>-5.2773500000000001E-2</v>
      </c>
      <c r="S18" s="10">
        <f>'AMECO Potential GDP'!C26</f>
        <v>2.2783420258029041E-2</v>
      </c>
      <c r="T18" s="10"/>
      <c r="U18" s="10">
        <f>'AMECO Output Gap'!B24/100</f>
        <v>0</v>
      </c>
      <c r="X18" s="10">
        <f t="shared" si="7"/>
        <v>1.2083568007146307E-2</v>
      </c>
      <c r="Y18" s="10">
        <f t="shared" si="8"/>
        <v>1.5889034562693673E-2</v>
      </c>
      <c r="Z18" s="10">
        <f t="shared" si="9"/>
        <v>1.714137617141227E-2</v>
      </c>
      <c r="AA18" s="10">
        <f t="shared" si="1"/>
        <v>0</v>
      </c>
      <c r="AB18" s="10">
        <f t="shared" si="2"/>
        <v>1.714137617141227E-2</v>
      </c>
      <c r="AC18" s="10">
        <f t="shared" si="10"/>
        <v>1.5889034562693673E-2</v>
      </c>
      <c r="AD18" s="10">
        <f t="shared" si="3"/>
        <v>-2.8300222025248064E-2</v>
      </c>
      <c r="AE18" s="10">
        <f t="shared" si="11"/>
        <v>-2.3384465437306327E-2</v>
      </c>
      <c r="AF18" s="10">
        <f t="shared" si="12"/>
        <v>0.54814955605139126</v>
      </c>
      <c r="AG18" s="10">
        <f t="shared" si="4"/>
        <v>6.5151742971526379E-3</v>
      </c>
      <c r="AH18" s="10">
        <f t="shared" si="13"/>
        <v>0.49546919945772666</v>
      </c>
      <c r="AI18" s="10">
        <f t="shared" si="5"/>
        <v>0.52814955605139124</v>
      </c>
      <c r="AK18" s="24">
        <f t="shared" si="14"/>
        <v>3.7090321284927841E-2</v>
      </c>
      <c r="AL18" s="24">
        <f t="shared" si="15"/>
        <v>2.877697841726623E-2</v>
      </c>
      <c r="AM18" s="24">
        <f t="shared" si="16"/>
        <v>8.3133428676616106E-3</v>
      </c>
      <c r="AN18" s="10">
        <f t="shared" si="17"/>
        <v>-5.0578081642659624E-3</v>
      </c>
      <c r="AO18" s="10">
        <f t="shared" si="6"/>
        <v>2.9389034562693674E-2</v>
      </c>
    </row>
    <row r="19" spans="1:41" ht="15.75" customHeight="1">
      <c r="A19" s="6">
        <f>'CPB Data'!A19:A70</f>
        <v>1988</v>
      </c>
      <c r="B19" s="7">
        <v>0</v>
      </c>
      <c r="C19" s="13">
        <v>0.02</v>
      </c>
      <c r="D19" s="13"/>
      <c r="E19" s="13"/>
      <c r="H19" s="9"/>
      <c r="I19" s="9"/>
      <c r="J19" s="10">
        <f>'CPB Data'!D19</f>
        <v>1.67E-2</v>
      </c>
      <c r="L19" s="10">
        <f>'CPB Data'!G19/100</f>
        <v>0.73799999999999999</v>
      </c>
      <c r="M19" s="10">
        <f>'CPB Data'!C19</f>
        <v>4.6399999999999997E-2</v>
      </c>
      <c r="N19" s="10">
        <f>'CPB Data'!B19</f>
        <v>7.9200000000000007E-2</v>
      </c>
      <c r="O19" s="10">
        <f>MEDIAN(Inflatie!B19:B27)/100</f>
        <v>2.7999999999999997E-2</v>
      </c>
      <c r="P19" s="10">
        <f t="shared" si="0"/>
        <v>-4.1749600000000005E-2</v>
      </c>
      <c r="S19" s="10">
        <f>'AMECO Potential GDP'!C27</f>
        <v>2.7106816961889324E-2</v>
      </c>
      <c r="T19" s="10"/>
      <c r="U19" s="10">
        <f>'AMECO Output Gap'!B25/100</f>
        <v>6.9999999999999993E-3</v>
      </c>
      <c r="X19" s="10">
        <f t="shared" si="7"/>
        <v>1.4078589284496288E-2</v>
      </c>
      <c r="Y19" s="10">
        <f t="shared" si="8"/>
        <v>1.836395054467781E-2</v>
      </c>
      <c r="Z19" s="10">
        <f t="shared" si="9"/>
        <v>1.714137617141227E-2</v>
      </c>
      <c r="AA19" s="10">
        <f t="shared" si="1"/>
        <v>6.9999999999999993E-3</v>
      </c>
      <c r="AB19" s="10">
        <f t="shared" si="2"/>
        <v>2.4141376171412269E-2</v>
      </c>
      <c r="AC19" s="10">
        <f t="shared" si="10"/>
        <v>2.5363950544677809E-2</v>
      </c>
      <c r="AD19" s="10">
        <f t="shared" si="3"/>
        <v>-1.8805673405962103E-2</v>
      </c>
      <c r="AE19" s="10">
        <f t="shared" si="11"/>
        <v>-6.0085649455322201E-2</v>
      </c>
      <c r="AF19" s="10">
        <f t="shared" si="12"/>
        <v>0.54226072698705008</v>
      </c>
      <c r="AG19" s="10">
        <f t="shared" si="4"/>
        <v>4.1935174297152635E-2</v>
      </c>
      <c r="AH19" s="10">
        <f t="shared" si="13"/>
        <v>0.49001991340562584</v>
      </c>
      <c r="AI19" s="10">
        <f t="shared" si="5"/>
        <v>0.5622607269870501</v>
      </c>
      <c r="AK19" s="24">
        <f t="shared" si="14"/>
        <v>-1.0743106510496037E-2</v>
      </c>
      <c r="AL19" s="24">
        <f t="shared" si="15"/>
        <v>3.2167832167832255E-2</v>
      </c>
      <c r="AM19" s="24">
        <f t="shared" si="16"/>
        <v>-4.2910938678328292E-2</v>
      </c>
      <c r="AN19" s="10">
        <f t="shared" si="17"/>
        <v>1.9950212773499811E-3</v>
      </c>
      <c r="AO19" s="10">
        <f t="shared" si="6"/>
        <v>-1.8336049455322197E-2</v>
      </c>
    </row>
    <row r="20" spans="1:41" ht="15.75" customHeight="1">
      <c r="A20" s="6">
        <f>'CPB Data'!A20:A71</f>
        <v>1989</v>
      </c>
      <c r="B20" s="7">
        <v>1</v>
      </c>
      <c r="C20" s="13">
        <v>0</v>
      </c>
      <c r="D20" s="13"/>
      <c r="E20" s="13"/>
      <c r="H20" s="9"/>
      <c r="I20" s="9"/>
      <c r="J20" s="10">
        <f>'CPB Data'!D20</f>
        <v>6.6E-3</v>
      </c>
      <c r="L20" s="10">
        <f>'CPB Data'!G20/100</f>
        <v>0.73799999999999999</v>
      </c>
      <c r="M20" s="10">
        <f>'CPB Data'!C20</f>
        <v>5.8599999999999999E-2</v>
      </c>
      <c r="N20" s="10">
        <f>'CPB Data'!B20</f>
        <v>7.2999999999999995E-2</v>
      </c>
      <c r="O20" s="10">
        <f>MEDIAN(Inflatie!B20:B28)/100</f>
        <v>2.3E-2</v>
      </c>
      <c r="P20" s="10">
        <f t="shared" si="0"/>
        <v>-4.7273999999999997E-2</v>
      </c>
      <c r="S20" s="10">
        <f>'AMECO Potential GDP'!C28</f>
        <v>2.9788345962895368E-2</v>
      </c>
      <c r="T20" s="10"/>
      <c r="U20" s="10">
        <f>'AMECO Output Gap'!B26/100</f>
        <v>2.1000000000000001E-2</v>
      </c>
      <c r="X20" s="10">
        <f t="shared" si="7"/>
        <v>1.238243061237833E-2</v>
      </c>
      <c r="Y20" s="10">
        <f t="shared" si="8"/>
        <v>1.6852103309619618E-2</v>
      </c>
      <c r="Z20" s="10">
        <f t="shared" si="9"/>
        <v>1.238243061237833E-2</v>
      </c>
      <c r="AA20" s="10">
        <f t="shared" si="1"/>
        <v>2.1000000000000001E-2</v>
      </c>
      <c r="AB20" s="10">
        <f t="shared" si="2"/>
        <v>3.3382430612378333E-2</v>
      </c>
      <c r="AC20" s="10">
        <f t="shared" si="10"/>
        <v>3.785210330961962E-2</v>
      </c>
      <c r="AD20" s="10">
        <f t="shared" si="3"/>
        <v>-4.4390534698671089E-3</v>
      </c>
      <c r="AE20" s="10">
        <f t="shared" si="11"/>
        <v>-3.7021896690380376E-2</v>
      </c>
      <c r="AF20" s="10">
        <f t="shared" si="12"/>
        <v>0.51810252167459514</v>
      </c>
      <c r="AG20" s="10">
        <f t="shared" si="4"/>
        <v>4.2530541632572999E-2</v>
      </c>
      <c r="AH20" s="10">
        <f t="shared" si="13"/>
        <v>0.47232087388131566</v>
      </c>
      <c r="AI20" s="10">
        <f t="shared" si="5"/>
        <v>0.51810252167459514</v>
      </c>
      <c r="AK20" s="24">
        <f t="shared" si="14"/>
        <v>-4.4550903486381133E-2</v>
      </c>
      <c r="AL20" s="24">
        <f t="shared" si="15"/>
        <v>0</v>
      </c>
      <c r="AM20" s="24">
        <f t="shared" si="16"/>
        <v>-4.4550903486381133E-2</v>
      </c>
      <c r="AN20" s="10">
        <f t="shared" si="17"/>
        <v>-1.6961586721179582E-3</v>
      </c>
      <c r="AO20" s="10">
        <f t="shared" si="6"/>
        <v>1.025210330961962E-2</v>
      </c>
    </row>
    <row r="21" spans="1:41" ht="15.75" customHeight="1">
      <c r="A21" s="6">
        <f>'CPB Data'!A21:A72</f>
        <v>1990</v>
      </c>
      <c r="B21" s="7">
        <v>0</v>
      </c>
      <c r="C21" s="13">
        <v>0</v>
      </c>
      <c r="D21" s="13"/>
      <c r="E21" s="13"/>
      <c r="H21" s="9"/>
      <c r="I21" s="9"/>
      <c r="J21" s="10">
        <f>'CPB Data'!D21</f>
        <v>4.1999999999999997E-3</v>
      </c>
      <c r="L21" s="10">
        <f>'CPB Data'!G21/100</f>
        <v>0.74</v>
      </c>
      <c r="M21" s="10">
        <f>'CPB Data'!C21</f>
        <v>5.7700000000000001E-2</v>
      </c>
      <c r="N21" s="10">
        <f>'CPB Data'!B21</f>
        <v>7.3800000000000004E-2</v>
      </c>
      <c r="O21" s="10">
        <f>MEDIAN(Inflatie!B21:B29)/100</f>
        <v>2.3E-2</v>
      </c>
      <c r="P21" s="10">
        <f t="shared" si="0"/>
        <v>-5.0411999999999998E-2</v>
      </c>
      <c r="S21" s="10">
        <f>'AMECO Potential GDP'!C29</f>
        <v>3.0956609997462525E-2</v>
      </c>
      <c r="T21" s="10"/>
      <c r="U21" s="10">
        <f>'AMECO Output Gap'!B27/100</f>
        <v>3.2000000000000001E-2</v>
      </c>
      <c r="X21" s="10">
        <f t="shared" si="7"/>
        <v>9.9466421375142035E-3</v>
      </c>
      <c r="Y21" s="10">
        <f t="shared" si="8"/>
        <v>1.4168280582305117E-2</v>
      </c>
      <c r="Z21" s="10">
        <f t="shared" si="9"/>
        <v>1.238243061237833E-2</v>
      </c>
      <c r="AA21" s="10">
        <f t="shared" si="1"/>
        <v>3.2000000000000001E-2</v>
      </c>
      <c r="AB21" s="10">
        <f t="shared" si="2"/>
        <v>4.4382430612378329E-2</v>
      </c>
      <c r="AC21" s="10">
        <f t="shared" si="10"/>
        <v>4.616828058230512E-2</v>
      </c>
      <c r="AD21" s="10">
        <f t="shared" si="3"/>
        <v>8.6611892220587877E-3</v>
      </c>
      <c r="AE21" s="10">
        <f t="shared" si="11"/>
        <v>-4.0443719417694882E-2</v>
      </c>
      <c r="AF21" s="10">
        <f t="shared" si="12"/>
        <v>0.48402766111544093</v>
      </c>
      <c r="AG21" s="10">
        <f t="shared" si="4"/>
        <v>3.3590541632573009E-2</v>
      </c>
      <c r="AH21" s="10">
        <f t="shared" si="13"/>
        <v>0.4477553780923586</v>
      </c>
      <c r="AI21" s="10">
        <f t="shared" si="5"/>
        <v>0.48402766111544093</v>
      </c>
      <c r="AK21" s="24">
        <f t="shared" si="14"/>
        <v>-6.5768567288610136E-2</v>
      </c>
      <c r="AL21" s="24">
        <f t="shared" si="15"/>
        <v>2.7100271002709064E-3</v>
      </c>
      <c r="AM21" s="24">
        <f t="shared" si="16"/>
        <v>-6.8478594388881042E-2</v>
      </c>
      <c r="AN21" s="10">
        <f t="shared" si="17"/>
        <v>-2.4357884748641267E-3</v>
      </c>
      <c r="AO21" s="10">
        <f t="shared" si="6"/>
        <v>9.9682805823051168E-3</v>
      </c>
    </row>
    <row r="22" spans="1:41" ht="15.75" customHeight="1">
      <c r="A22" s="6">
        <f>'CPB Data'!A22:A73</f>
        <v>1991</v>
      </c>
      <c r="B22" s="7">
        <v>0</v>
      </c>
      <c r="C22" s="13">
        <v>0.01</v>
      </c>
      <c r="D22" s="13"/>
      <c r="E22" s="13"/>
      <c r="H22" s="9"/>
      <c r="I22" s="9"/>
      <c r="J22" s="10">
        <f>'CPB Data'!D22</f>
        <v>3.1199999999999999E-2</v>
      </c>
      <c r="L22" s="10">
        <f>'CPB Data'!G22/100</f>
        <v>0.73599999999999999</v>
      </c>
      <c r="M22" s="10">
        <f>'CPB Data'!C22</f>
        <v>5.7799999999999997E-2</v>
      </c>
      <c r="N22" s="10">
        <f>'CPB Data'!B22</f>
        <v>7.6300000000000007E-2</v>
      </c>
      <c r="O22" s="10">
        <f>MEDIAN(Inflatie!B22:B30)/100</f>
        <v>2.3E-2</v>
      </c>
      <c r="P22" s="10">
        <f t="shared" si="0"/>
        <v>-2.4956800000000008E-2</v>
      </c>
      <c r="S22" s="10">
        <f>'AMECO Potential GDP'!C30</f>
        <v>3.1996062023135652E-2</v>
      </c>
      <c r="T22" s="10"/>
      <c r="U22" s="10">
        <f>'AMECO Output Gap'!B28/100</f>
        <v>2.4E-2</v>
      </c>
      <c r="X22" s="10">
        <f t="shared" si="7"/>
        <v>9.1130408599580937E-3</v>
      </c>
      <c r="Y22" s="10">
        <f t="shared" si="8"/>
        <v>1.3932365395870679E-2</v>
      </c>
      <c r="Z22" s="10">
        <f t="shared" si="9"/>
        <v>1.238243061237833E-2</v>
      </c>
      <c r="AA22" s="10">
        <f t="shared" si="1"/>
        <v>2.4E-2</v>
      </c>
      <c r="AB22" s="10">
        <f t="shared" si="2"/>
        <v>3.6382430612378329E-2</v>
      </c>
      <c r="AC22" s="10">
        <f t="shared" si="10"/>
        <v>3.7932365395870679E-2</v>
      </c>
      <c r="AD22" s="10">
        <f t="shared" si="3"/>
        <v>1.4295188314907975E-3</v>
      </c>
      <c r="AE22" s="10">
        <f t="shared" si="11"/>
        <v>-5.222443460412933E-2</v>
      </c>
      <c r="AF22" s="10">
        <f t="shared" si="12"/>
        <v>0.45809845060140925</v>
      </c>
      <c r="AG22" s="10">
        <f t="shared" si="4"/>
        <v>5.4690541632572996E-2</v>
      </c>
      <c r="AH22" s="10">
        <f t="shared" si="13"/>
        <v>0.42243356249196434</v>
      </c>
      <c r="AI22" s="10">
        <f t="shared" si="5"/>
        <v>0.46809845060140925</v>
      </c>
      <c r="AK22" s="24">
        <f t="shared" si="14"/>
        <v>-5.3569687431246904E-2</v>
      </c>
      <c r="AL22" s="24">
        <f t="shared" si="15"/>
        <v>-5.4054054054054612E-3</v>
      </c>
      <c r="AM22" s="24">
        <f t="shared" si="16"/>
        <v>-4.8164282025841443E-2</v>
      </c>
      <c r="AN22" s="10">
        <f t="shared" si="17"/>
        <v>-8.3360127755610983E-4</v>
      </c>
      <c r="AO22" s="10">
        <f t="shared" si="6"/>
        <v>-2.7267634604129322E-2</v>
      </c>
    </row>
    <row r="23" spans="1:41" ht="15.75" customHeight="1">
      <c r="A23" s="6">
        <f>'CPB Data'!A23:A74</f>
        <v>1992</v>
      </c>
      <c r="B23" s="7">
        <v>0</v>
      </c>
      <c r="C23" s="13">
        <v>0</v>
      </c>
      <c r="D23" s="13"/>
      <c r="E23" s="13"/>
      <c r="H23" s="9"/>
      <c r="I23" s="9"/>
      <c r="J23" s="10">
        <f>'CPB Data'!D23</f>
        <v>1.9300000000000001E-2</v>
      </c>
      <c r="L23" s="10">
        <f>'CPB Data'!G23/100</f>
        <v>0.74199999999999999</v>
      </c>
      <c r="M23" s="10">
        <f>'CPB Data'!C23</f>
        <v>4.5499999999999999E-2</v>
      </c>
      <c r="N23" s="10">
        <f>'CPB Data'!B23</f>
        <v>7.9399999999999998E-2</v>
      </c>
      <c r="O23" s="10">
        <f>MEDIAN(Inflatie!B23:B31)/100</f>
        <v>2.3E-2</v>
      </c>
      <c r="P23" s="10">
        <f t="shared" si="0"/>
        <v>-3.9614799999999992E-2</v>
      </c>
      <c r="S23" s="10">
        <f>'AMECO Potential GDP'!C31</f>
        <v>3.2435010732172476E-2</v>
      </c>
      <c r="T23" s="10"/>
      <c r="U23" s="10">
        <f>'AMECO Output Gap'!B29/100</f>
        <v>9.0000000000000011E-3</v>
      </c>
      <c r="X23" s="10">
        <f t="shared" si="7"/>
        <v>9.2505567842547411E-3</v>
      </c>
      <c r="Y23" s="10">
        <f t="shared" si="8"/>
        <v>1.4862328794767038E-2</v>
      </c>
      <c r="Z23" s="10">
        <f t="shared" si="9"/>
        <v>1.238243061237833E-2</v>
      </c>
      <c r="AA23" s="10">
        <f t="shared" si="1"/>
        <v>9.0000000000000011E-3</v>
      </c>
      <c r="AB23" s="10">
        <f t="shared" si="2"/>
        <v>2.1382430612378329E-2</v>
      </c>
      <c r="AC23" s="10">
        <f t="shared" si="10"/>
        <v>2.3862328794767039E-2</v>
      </c>
      <c r="AD23" s="10">
        <f t="shared" si="3"/>
        <v>-1.4546091181177438E-2</v>
      </c>
      <c r="AE23" s="10">
        <f t="shared" si="11"/>
        <v>-4.4052471205232958E-2</v>
      </c>
      <c r="AF23" s="10">
        <f t="shared" si="12"/>
        <v>0.45250027447803232</v>
      </c>
      <c r="AG23" s="10">
        <f t="shared" si="4"/>
        <v>4.4250541632572998E-2</v>
      </c>
      <c r="AH23" s="10">
        <f t="shared" si="13"/>
        <v>0.41617632877835026</v>
      </c>
      <c r="AI23" s="10">
        <f t="shared" si="5"/>
        <v>0.45250027447803232</v>
      </c>
      <c r="AK23" s="24">
        <f t="shared" si="14"/>
        <v>-1.2220465090042154E-2</v>
      </c>
      <c r="AL23" s="24">
        <f t="shared" si="15"/>
        <v>8.152173913043459E-3</v>
      </c>
      <c r="AM23" s="24">
        <f t="shared" si="16"/>
        <v>-2.0372639003085613E-2</v>
      </c>
      <c r="AN23" s="10">
        <f t="shared" si="17"/>
        <v>1.3751592429664741E-4</v>
      </c>
      <c r="AO23" s="10">
        <f t="shared" si="6"/>
        <v>-4.4376712052329667E-3</v>
      </c>
    </row>
    <row r="24" spans="1:41" ht="15.75" customHeight="1">
      <c r="A24" s="6">
        <f>'CPB Data'!A24:A75</f>
        <v>1993</v>
      </c>
      <c r="B24" s="7">
        <v>0</v>
      </c>
      <c r="C24" s="13">
        <v>0.01</v>
      </c>
      <c r="D24" s="13"/>
      <c r="E24" s="13"/>
      <c r="H24" s="9"/>
      <c r="I24" s="9"/>
      <c r="J24" s="10">
        <f>'CPB Data'!D24</f>
        <v>3.0599999999999999E-2</v>
      </c>
      <c r="L24" s="10">
        <f>'CPB Data'!G24/100</f>
        <v>0.75</v>
      </c>
      <c r="M24" s="10">
        <f>'CPB Data'!C24</f>
        <v>3.0200000000000001E-2</v>
      </c>
      <c r="N24" s="10">
        <f>'CPB Data'!B24</f>
        <v>7.6600000000000001E-2</v>
      </c>
      <c r="O24" s="10">
        <f>MEDIAN(Inflatie!B24:B32)/100</f>
        <v>2.1000000000000001E-2</v>
      </c>
      <c r="P24" s="10">
        <f t="shared" si="0"/>
        <v>-2.6850000000000002E-2</v>
      </c>
      <c r="S24" s="10">
        <f>'AMECO Potential GDP'!C32</f>
        <v>3.1416031416031442E-2</v>
      </c>
      <c r="T24" s="10"/>
      <c r="U24" s="10">
        <f>'AMECO Output Gap'!B30/100</f>
        <v>-0.01</v>
      </c>
      <c r="X24" s="10">
        <f t="shared" si="7"/>
        <v>1.0274592098316231E-2</v>
      </c>
      <c r="Y24" s="10">
        <f t="shared" si="8"/>
        <v>1.6848050193438623E-2</v>
      </c>
      <c r="Z24" s="10">
        <f t="shared" si="9"/>
        <v>1.238243061237833E-2</v>
      </c>
      <c r="AA24" s="10">
        <f t="shared" si="1"/>
        <v>-0.01</v>
      </c>
      <c r="AB24" s="10">
        <f t="shared" si="2"/>
        <v>2.38243061237833E-3</v>
      </c>
      <c r="AC24" s="10">
        <f t="shared" si="10"/>
        <v>6.8480501934386224E-3</v>
      </c>
      <c r="AD24" s="10">
        <f t="shared" si="3"/>
        <v>-3.3663093898032681E-2</v>
      </c>
      <c r="AE24" s="10">
        <f t="shared" si="11"/>
        <v>-5.060194980656138E-2</v>
      </c>
      <c r="AF24" s="10">
        <f t="shared" si="12"/>
        <v>0.4705682050967494</v>
      </c>
      <c r="AG24" s="10">
        <f t="shared" si="4"/>
        <v>4.7130541632573006E-2</v>
      </c>
      <c r="AH24" s="10">
        <f t="shared" si="13"/>
        <v>0.4256136052106248</v>
      </c>
      <c r="AI24" s="10">
        <f t="shared" si="5"/>
        <v>0.48056820509674941</v>
      </c>
      <c r="AK24" s="24">
        <f t="shared" si="14"/>
        <v>3.9929104218906275E-2</v>
      </c>
      <c r="AL24" s="24">
        <f t="shared" si="15"/>
        <v>1.0781671159029615E-2</v>
      </c>
      <c r="AM24" s="24">
        <f t="shared" si="16"/>
        <v>2.914743305987666E-2</v>
      </c>
      <c r="AN24" s="10">
        <f t="shared" si="17"/>
        <v>1.0240353140614899E-3</v>
      </c>
      <c r="AO24" s="10">
        <f t="shared" si="6"/>
        <v>-2.3751949806561378E-2</v>
      </c>
    </row>
    <row r="25" spans="1:41" ht="15.75" customHeight="1">
      <c r="A25" s="6">
        <f>'CPB Data'!A25:A76</f>
        <v>1994</v>
      </c>
      <c r="B25" s="7">
        <v>1</v>
      </c>
      <c r="C25" s="13">
        <v>-0.02</v>
      </c>
      <c r="D25" s="13"/>
      <c r="E25" s="13"/>
      <c r="H25" s="9"/>
      <c r="I25" s="9"/>
      <c r="J25" s="10">
        <f>'CPB Data'!D25</f>
        <v>1.7999999999999999E-2</v>
      </c>
      <c r="L25" s="10">
        <f>'CPB Data'!G25/100</f>
        <v>0.72199999999999998</v>
      </c>
      <c r="M25" s="10">
        <f>'CPB Data'!C25</f>
        <v>5.16E-2</v>
      </c>
      <c r="N25" s="10">
        <f>'CPB Data'!B25</f>
        <v>6.8000000000000005E-2</v>
      </c>
      <c r="O25" s="10">
        <f>MEDIAN(Inflatie!B25:B33)/100</f>
        <v>2.1000000000000001E-2</v>
      </c>
      <c r="P25" s="10">
        <f t="shared" si="0"/>
        <v>-3.1096000000000002E-2</v>
      </c>
      <c r="S25" s="10">
        <f>'AMECO Potential GDP'!C33</f>
        <v>3.1578947368421151E-2</v>
      </c>
      <c r="T25" s="10"/>
      <c r="U25" s="10">
        <f>'AMECO Output Gap'!B31/100</f>
        <v>-1.1000000000000001E-2</v>
      </c>
      <c r="X25" s="10">
        <f t="shared" si="7"/>
        <v>1.0813410618006437E-2</v>
      </c>
      <c r="Y25" s="10">
        <f t="shared" si="8"/>
        <v>1.7234606749169101E-2</v>
      </c>
      <c r="Z25" s="10">
        <f t="shared" si="9"/>
        <v>1.0813410618006437E-2</v>
      </c>
      <c r="AA25" s="10">
        <f t="shared" si="1"/>
        <v>-1.1000000000000001E-2</v>
      </c>
      <c r="AB25" s="10">
        <f t="shared" si="2"/>
        <v>-1.8658938199356441E-4</v>
      </c>
      <c r="AC25" s="10">
        <f t="shared" si="10"/>
        <v>6.2346067491691002E-3</v>
      </c>
      <c r="AD25" s="10">
        <f t="shared" si="3"/>
        <v>-3.269632065331525E-2</v>
      </c>
      <c r="AE25" s="10">
        <f t="shared" si="11"/>
        <v>-1.1861393250830899E-2</v>
      </c>
      <c r="AF25" s="10">
        <f t="shared" si="12"/>
        <v>0.47808428340178949</v>
      </c>
      <c r="AG25" s="10">
        <f t="shared" si="4"/>
        <v>6.2511953629196135E-2</v>
      </c>
      <c r="AH25" s="10">
        <f t="shared" si="13"/>
        <v>0.42798757999257325</v>
      </c>
      <c r="AI25" s="10">
        <f t="shared" si="5"/>
        <v>0.45808428340178947</v>
      </c>
      <c r="AK25" s="24">
        <f t="shared" si="14"/>
        <v>1.5972346247861813E-2</v>
      </c>
      <c r="AL25" s="24">
        <f t="shared" si="15"/>
        <v>-3.7333333333333329E-2</v>
      </c>
      <c r="AM25" s="24">
        <f t="shared" si="16"/>
        <v>5.3305679581195142E-2</v>
      </c>
      <c r="AN25" s="10">
        <f t="shared" si="17"/>
        <v>5.3881851969020574E-4</v>
      </c>
      <c r="AO25" s="10">
        <f t="shared" si="6"/>
        <v>1.9234606749169103E-2</v>
      </c>
    </row>
    <row r="26" spans="1:41" ht="15.75" customHeight="1">
      <c r="A26" s="6">
        <f>'CPB Data'!A26:A77</f>
        <v>1995</v>
      </c>
      <c r="B26" s="7">
        <v>0</v>
      </c>
      <c r="C26" s="13">
        <v>-0.03</v>
      </c>
      <c r="D26" s="14">
        <f>'Correcties CBS'!C2</f>
        <v>-4.4910774356838497E-2</v>
      </c>
      <c r="E26" s="14">
        <f t="shared" ref="E26:E53" si="18">-D26</f>
        <v>4.4910774356838497E-2</v>
      </c>
      <c r="H26" s="9"/>
      <c r="I26" s="9"/>
      <c r="J26" s="10">
        <f>'CPB Data'!D26</f>
        <v>-3.4000000000000002E-2</v>
      </c>
      <c r="L26" s="10">
        <f>'CPB Data'!G26/100</f>
        <v>0.73499999999999999</v>
      </c>
      <c r="M26" s="10">
        <f>'CPB Data'!C26</f>
        <v>5.3699999999999998E-2</v>
      </c>
      <c r="N26" s="10">
        <f>'CPB Data'!B26</f>
        <v>7.1999999999999995E-2</v>
      </c>
      <c r="O26" s="10">
        <f>MEDIAN(Inflatie!B26:B34)/100</f>
        <v>2.1000000000000001E-2</v>
      </c>
      <c r="P26" s="10">
        <f t="shared" si="0"/>
        <v>-4.20092256431615E-2</v>
      </c>
      <c r="S26" s="10">
        <f>'AMECO Potential GDP'!C34</f>
        <v>3.2783326096395893E-2</v>
      </c>
      <c r="T26" s="10"/>
      <c r="U26" s="10">
        <f>'AMECO Output Gap'!B32/100</f>
        <v>-1.3000000000000001E-2</v>
      </c>
      <c r="X26" s="10">
        <f t="shared" si="7"/>
        <v>7.0042849660845842E-3</v>
      </c>
      <c r="Y26" s="10">
        <f t="shared" si="8"/>
        <v>1.0577828891444669E-2</v>
      </c>
      <c r="Z26" s="10">
        <f t="shared" si="9"/>
        <v>1.0813410618006437E-2</v>
      </c>
      <c r="AA26" s="10">
        <f t="shared" si="1"/>
        <v>-1.3000000000000001E-2</v>
      </c>
      <c r="AB26" s="10">
        <f t="shared" si="2"/>
        <v>-2.1865893819935645E-3</v>
      </c>
      <c r="AC26" s="10">
        <f t="shared" si="10"/>
        <v>-2.4221711085553321E-3</v>
      </c>
      <c r="AD26" s="10">
        <f t="shared" si="3"/>
        <v>1.0623666789502918E-2</v>
      </c>
      <c r="AE26" s="10">
        <f t="shared" si="11"/>
        <v>-1.234217110855533E-2</v>
      </c>
      <c r="AF26" s="10">
        <f t="shared" si="12"/>
        <v>0.44584053035197246</v>
      </c>
      <c r="AG26" s="10">
        <f t="shared" si="4"/>
        <v>3.461195362919614E-2</v>
      </c>
      <c r="AH26" s="10">
        <f t="shared" si="13"/>
        <v>0.40215899238132685</v>
      </c>
      <c r="AI26" s="10">
        <f t="shared" si="5"/>
        <v>0.41584053035197244</v>
      </c>
      <c r="AK26" s="24">
        <f t="shared" si="14"/>
        <v>-6.74436583030672E-2</v>
      </c>
      <c r="AL26" s="24">
        <f t="shared" si="15"/>
        <v>1.8005540166204925E-2</v>
      </c>
      <c r="AM26" s="24">
        <f t="shared" si="16"/>
        <v>-8.5449198469272125E-2</v>
      </c>
      <c r="AN26" s="10">
        <f t="shared" si="17"/>
        <v>-3.8091256519218524E-3</v>
      </c>
      <c r="AO26" s="10">
        <f t="shared" si="6"/>
        <v>2.966705453460617E-2</v>
      </c>
    </row>
    <row r="27" spans="1:41" ht="15.75" customHeight="1">
      <c r="A27" s="6">
        <f>'CPB Data'!A27:A78</f>
        <v>1996</v>
      </c>
      <c r="B27" s="7">
        <v>0</v>
      </c>
      <c r="C27" s="13">
        <v>-0.06</v>
      </c>
      <c r="D27" s="14">
        <f>'Correcties CBS'!C3</f>
        <v>-4.1498099791590047E-3</v>
      </c>
      <c r="E27" s="14">
        <f t="shared" si="18"/>
        <v>4.1498099791590047E-3</v>
      </c>
      <c r="H27" s="9"/>
      <c r="I27" s="9"/>
      <c r="J27" s="10">
        <f>'CPB Data'!D27</f>
        <v>2.9000000000000001E-2</v>
      </c>
      <c r="K27" s="10">
        <f>overheidsuitgaven_nominaal!U3*-1</f>
        <v>8.7869146987895608E-2</v>
      </c>
      <c r="L27" s="10">
        <f>'CPB Data'!G27/100</f>
        <v>0.71400000000000008</v>
      </c>
      <c r="M27" s="10">
        <f>'CPB Data'!C27</f>
        <v>4.5400000000000003E-2</v>
      </c>
      <c r="N27" s="10">
        <f>'CPB Data'!B27</f>
        <v>6.4799999999999996E-2</v>
      </c>
      <c r="O27" s="10">
        <f>MEDIAN(Inflatie!B27:B35)/100</f>
        <v>2.1000000000000001E-2</v>
      </c>
      <c r="P27" s="10">
        <f t="shared" si="0"/>
        <v>-1.3117390020840995E-2</v>
      </c>
      <c r="S27" s="10">
        <f>'AMECO Potential GDP'!C35</f>
        <v>3.4265293252049744E-2</v>
      </c>
      <c r="T27" s="10"/>
      <c r="U27" s="10">
        <f>'AMECO Output Gap'!B33/100</f>
        <v>-1.2E-2</v>
      </c>
      <c r="X27" s="10">
        <f t="shared" si="7"/>
        <v>7.7072120551743657E-3</v>
      </c>
      <c r="Y27" s="10">
        <f t="shared" si="8"/>
        <v>1.2705890278932324E-2</v>
      </c>
      <c r="Z27" s="10">
        <f t="shared" si="9"/>
        <v>1.0813410618006437E-2</v>
      </c>
      <c r="AA27" s="10">
        <f t="shared" si="1"/>
        <v>-1.2E-2</v>
      </c>
      <c r="AB27" s="10">
        <f t="shared" si="2"/>
        <v>-1.1865893819935636E-3</v>
      </c>
      <c r="AC27" s="10">
        <f t="shared" si="10"/>
        <v>7.058902789323241E-4</v>
      </c>
      <c r="AD27" s="10">
        <f t="shared" si="3"/>
        <v>-2.6279702583129793E-2</v>
      </c>
      <c r="AE27" s="10">
        <f t="shared" si="11"/>
        <v>2.6438690278932322E-2</v>
      </c>
      <c r="AF27" s="10">
        <f t="shared" si="12"/>
        <v>0.4512796787082598</v>
      </c>
      <c r="AG27" s="10">
        <f t="shared" si="4"/>
        <v>6.351195362919615E-2</v>
      </c>
      <c r="AH27" s="10">
        <f t="shared" si="13"/>
        <v>0.39985979756908402</v>
      </c>
      <c r="AI27" s="10">
        <f t="shared" si="5"/>
        <v>0.3912796787082598</v>
      </c>
      <c r="AK27" s="24">
        <f t="shared" si="14"/>
        <v>1.219976199111672E-2</v>
      </c>
      <c r="AL27" s="24">
        <f t="shared" si="15"/>
        <v>-2.857142857142847E-2</v>
      </c>
      <c r="AM27" s="24">
        <f t="shared" si="16"/>
        <v>4.077119056254519E-2</v>
      </c>
      <c r="AN27" s="10">
        <f t="shared" si="17"/>
        <v>7.0292708908978145E-4</v>
      </c>
      <c r="AO27" s="10">
        <f t="shared" si="6"/>
        <v>3.9556080299773318E-2</v>
      </c>
    </row>
    <row r="28" spans="1:41" ht="15.75" customHeight="1">
      <c r="A28" s="6">
        <f>'CPB Data'!A28:A79</f>
        <v>1997</v>
      </c>
      <c r="B28" s="7">
        <v>0</v>
      </c>
      <c r="C28" s="13">
        <v>0.02</v>
      </c>
      <c r="D28" s="14">
        <f>'Correcties CBS'!C4</f>
        <v>-2.5959445526406232E-2</v>
      </c>
      <c r="E28" s="14">
        <f t="shared" si="18"/>
        <v>2.5959445526406232E-2</v>
      </c>
      <c r="H28" s="9"/>
      <c r="I28" s="9"/>
      <c r="J28" s="10">
        <f>'CPB Data'!D28</f>
        <v>2.8299999999999999E-2</v>
      </c>
      <c r="K28" s="10">
        <f>overheidsuitgaven_nominaal!U4*-1</f>
        <v>2.5463811970073524E-2</v>
      </c>
      <c r="L28" s="10">
        <f>'CPB Data'!G28/100</f>
        <v>0.65799999999999992</v>
      </c>
      <c r="M28" s="10">
        <f>'CPB Data'!C28</f>
        <v>7.0099999999999996E-2</v>
      </c>
      <c r="N28" s="10">
        <f>'CPB Data'!B28</f>
        <v>6.2100000000000002E-2</v>
      </c>
      <c r="O28" s="10">
        <f>MEDIAN(Inflatie!B28:B36)/100</f>
        <v>2.2000000000000002E-2</v>
      </c>
      <c r="P28" s="10">
        <f t="shared" si="0"/>
        <v>1.3397645526406234E-2</v>
      </c>
      <c r="S28" s="10">
        <f>'AMECO Potential GDP'!C36</f>
        <v>3.5365853658536617E-2</v>
      </c>
      <c r="T28" s="10"/>
      <c r="U28" s="10">
        <f>'AMECO Output Gap'!B34/100</f>
        <v>-5.0000000000000001E-3</v>
      </c>
      <c r="X28" s="10">
        <f t="shared" si="7"/>
        <v>4.0774764652141537E-3</v>
      </c>
      <c r="Y28" s="10">
        <f t="shared" si="8"/>
        <v>6.4512503742606923E-3</v>
      </c>
      <c r="Z28" s="10">
        <f t="shared" si="9"/>
        <v>1.0813410618006437E-2</v>
      </c>
      <c r="AA28" s="10">
        <f t="shared" si="1"/>
        <v>-5.0000000000000001E-3</v>
      </c>
      <c r="AB28" s="10">
        <f t="shared" si="2"/>
        <v>5.8134106180064366E-3</v>
      </c>
      <c r="AC28" s="10">
        <f t="shared" si="10"/>
        <v>1.4512503742606922E-3</v>
      </c>
      <c r="AD28" s="10">
        <f t="shared" si="3"/>
        <v>5.8017383545031012E-3</v>
      </c>
      <c r="AE28" s="10">
        <f t="shared" si="11"/>
        <v>-5.441054962573931E-2</v>
      </c>
      <c r="AF28" s="10">
        <f t="shared" si="12"/>
        <v>0.41821445716440525</v>
      </c>
      <c r="AG28" s="10">
        <f t="shared" si="4"/>
        <v>8.3591953629196136E-2</v>
      </c>
      <c r="AH28" s="10">
        <f t="shared" si="13"/>
        <v>0.36260719133040697</v>
      </c>
      <c r="AI28" s="10">
        <f t="shared" si="5"/>
        <v>0.43821445716440527</v>
      </c>
      <c r="AK28" s="24">
        <f t="shared" si="14"/>
        <v>-7.3269910221750334E-2</v>
      </c>
      <c r="AL28" s="24">
        <f t="shared" si="15"/>
        <v>-7.8431372549019773E-2</v>
      </c>
      <c r="AM28" s="24">
        <f t="shared" si="16"/>
        <v>5.1614623272694393E-3</v>
      </c>
      <c r="AN28" s="10">
        <f t="shared" si="17"/>
        <v>-3.629735589960212E-3</v>
      </c>
      <c r="AO28" s="10">
        <f t="shared" si="6"/>
        <v>-6.7808195152145548E-2</v>
      </c>
    </row>
    <row r="29" spans="1:41" ht="15.75" customHeight="1">
      <c r="A29" s="6">
        <f>'CPB Data'!A29:A80</f>
        <v>1998</v>
      </c>
      <c r="B29" s="7">
        <v>1</v>
      </c>
      <c r="C29" s="13">
        <v>-0.02</v>
      </c>
      <c r="D29" s="14">
        <f>'Correcties CBS'!C5</f>
        <v>-2.1165438713998661E-3</v>
      </c>
      <c r="E29" s="14">
        <f t="shared" si="18"/>
        <v>2.1165438713998661E-3</v>
      </c>
      <c r="H29" s="9"/>
      <c r="I29" s="9"/>
      <c r="J29" s="10">
        <f>'CPB Data'!D29</f>
        <v>2.81E-2</v>
      </c>
      <c r="K29" s="10">
        <f>overheidsuitgaven_nominaal!U5*-1</f>
        <v>2.4904114492521945E-2</v>
      </c>
      <c r="L29" s="10">
        <f>'CPB Data'!G29/100</f>
        <v>0.628</v>
      </c>
      <c r="M29" s="10">
        <f>'CPB Data'!C29</f>
        <v>6.9000000000000006E-2</v>
      </c>
      <c r="N29" s="10">
        <f>'CPB Data'!B29</f>
        <v>6.3500000000000001E-2</v>
      </c>
      <c r="O29" s="10">
        <f>MEDIAN(Inflatie!B29:B37)/100</f>
        <v>2.2000000000000002E-2</v>
      </c>
      <c r="P29" s="10">
        <f t="shared" si="0"/>
        <v>-9.661456128600138E-3</v>
      </c>
      <c r="S29" s="10">
        <f>'AMECO Potential GDP'!C37</f>
        <v>3.6317235963879035E-2</v>
      </c>
      <c r="T29" s="10"/>
      <c r="U29" s="10">
        <f>'AMECO Output Gap'!B35/100</f>
        <v>5.0000000000000001E-3</v>
      </c>
      <c r="X29" s="10">
        <f t="shared" si="7"/>
        <v>1.8724724611462059E-3</v>
      </c>
      <c r="Y29" s="10">
        <f t="shared" si="8"/>
        <v>2.9460647720981458E-3</v>
      </c>
      <c r="Z29" s="10">
        <f t="shared" si="9"/>
        <v>1.8724724611462059E-3</v>
      </c>
      <c r="AA29" s="10">
        <f t="shared" si="1"/>
        <v>5.0000000000000001E-3</v>
      </c>
      <c r="AB29" s="10">
        <f t="shared" si="2"/>
        <v>6.8724724611462056E-3</v>
      </c>
      <c r="AC29" s="10">
        <f t="shared" si="10"/>
        <v>7.946064772098145E-3</v>
      </c>
      <c r="AD29" s="10">
        <f t="shared" si="3"/>
        <v>-1.6897008679356861E-2</v>
      </c>
      <c r="AE29" s="10">
        <f t="shared" si="11"/>
        <v>-1.6931935227901856E-2</v>
      </c>
      <c r="AF29" s="10">
        <f t="shared" si="12"/>
        <v>0.40765393719532178</v>
      </c>
      <c r="AG29" s="10">
        <f t="shared" si="4"/>
        <v>8.1736516523312278E-2</v>
      </c>
      <c r="AH29" s="10">
        <f t="shared" si="13"/>
        <v>0.34818435533439329</v>
      </c>
      <c r="AI29" s="10">
        <f t="shared" si="5"/>
        <v>0.38765393719532176</v>
      </c>
      <c r="AK29" s="24">
        <f t="shared" si="14"/>
        <v>-2.5251446448519066E-2</v>
      </c>
      <c r="AL29" s="24">
        <f t="shared" si="15"/>
        <v>-4.5592705167173175E-2</v>
      </c>
      <c r="AM29" s="24">
        <f t="shared" si="16"/>
        <v>2.0341258718654109E-2</v>
      </c>
      <c r="AN29" s="10">
        <f t="shared" si="17"/>
        <v>-2.2050040040679478E-3</v>
      </c>
      <c r="AO29" s="10">
        <f t="shared" si="6"/>
        <v>-7.2704790993017177E-3</v>
      </c>
    </row>
    <row r="30" spans="1:41" ht="15.75" customHeight="1">
      <c r="A30" s="6">
        <f>'CPB Data'!A30:A81</f>
        <v>1999</v>
      </c>
      <c r="B30" s="7">
        <v>0</v>
      </c>
      <c r="C30" s="13">
        <v>0</v>
      </c>
      <c r="D30" s="14">
        <f>'Correcties CBS'!C6</f>
        <v>-7.2542253343744491E-4</v>
      </c>
      <c r="E30" s="14">
        <f t="shared" si="18"/>
        <v>7.2542253343744491E-4</v>
      </c>
      <c r="H30" s="9"/>
      <c r="I30" s="9"/>
      <c r="J30" s="10">
        <f>'CPB Data'!D30</f>
        <v>4.1200000000000001E-2</v>
      </c>
      <c r="K30" s="10">
        <f>overheidsuitgaven_nominaal!U6*-1</f>
        <v>1.2650641779046512E-2</v>
      </c>
      <c r="L30" s="10">
        <f>'CPB Data'!G30/100</f>
        <v>0.58700000000000008</v>
      </c>
      <c r="M30" s="10">
        <f>'CPB Data'!C30</f>
        <v>6.3700000000000007E-2</v>
      </c>
      <c r="N30" s="10">
        <f>'CPB Data'!B30</f>
        <v>6.1899999999999997E-2</v>
      </c>
      <c r="O30" s="10">
        <f>Inflatie!E38/100</f>
        <v>1.9E-2</v>
      </c>
      <c r="P30" s="10">
        <f t="shared" si="0"/>
        <v>5.5901225334374447E-3</v>
      </c>
      <c r="S30" s="10">
        <f>'AMECO Potential GDP'!C38</f>
        <v>3.6370524720591213E-2</v>
      </c>
      <c r="T30" s="10"/>
      <c r="U30" s="10">
        <f>'AMECO Output Gap'!B36/100</f>
        <v>1.9E-2</v>
      </c>
      <c r="X30" s="10">
        <f t="shared" si="7"/>
        <v>1.9963524103004419E-3</v>
      </c>
      <c r="Y30" s="10">
        <f t="shared" si="8"/>
        <v>3.0754255001049576E-3</v>
      </c>
      <c r="Z30" s="10">
        <f t="shared" si="9"/>
        <v>1.8724724611462059E-3</v>
      </c>
      <c r="AA30" s="10">
        <f t="shared" si="1"/>
        <v>1.9E-2</v>
      </c>
      <c r="AB30" s="10">
        <f t="shared" si="2"/>
        <v>2.0872472461146204E-2</v>
      </c>
      <c r="AC30" s="10">
        <f t="shared" si="10"/>
        <v>2.2075425500104957E-2</v>
      </c>
      <c r="AD30" s="10">
        <f t="shared" si="3"/>
        <v>-2.3363345010661164E-3</v>
      </c>
      <c r="AE30" s="10">
        <f t="shared" si="11"/>
        <v>-3.3259874499895044E-2</v>
      </c>
      <c r="AF30" s="10">
        <f t="shared" si="12"/>
        <v>0.38665960413004469</v>
      </c>
      <c r="AG30" s="10">
        <f t="shared" si="4"/>
        <v>7.589651652331228E-2</v>
      </c>
      <c r="AH30" s="10">
        <f t="shared" si="13"/>
        <v>0.32358044346123244</v>
      </c>
      <c r="AI30" s="10">
        <f t="shared" si="5"/>
        <v>0.38665960413004469</v>
      </c>
      <c r="AK30" s="24">
        <f t="shared" si="14"/>
        <v>-5.1500380959691228E-2</v>
      </c>
      <c r="AL30" s="24">
        <f t="shared" si="15"/>
        <v>-6.5286624203821586E-2</v>
      </c>
      <c r="AM30" s="24">
        <f t="shared" si="16"/>
        <v>1.3786243244130358E-2</v>
      </c>
      <c r="AN30" s="10">
        <f t="shared" si="17"/>
        <v>1.2387994915423603E-4</v>
      </c>
      <c r="AO30" s="10">
        <f t="shared" si="6"/>
        <v>-3.8849997033332487E-2</v>
      </c>
    </row>
    <row r="31" spans="1:41" ht="15.75" customHeight="1">
      <c r="A31" s="6">
        <f>'CPB Data'!A31:A82</f>
        <v>2000</v>
      </c>
      <c r="B31" s="7">
        <v>0</v>
      </c>
      <c r="C31" s="13">
        <v>0.01</v>
      </c>
      <c r="D31" s="14">
        <f>'Correcties CBS'!C7</f>
        <v>-1.1696084161309177E-2</v>
      </c>
      <c r="E31" s="14">
        <f t="shared" si="18"/>
        <v>1.1696084161309177E-2</v>
      </c>
      <c r="H31" s="9"/>
      <c r="I31" s="9"/>
      <c r="J31" s="10">
        <f>'CPB Data'!D31</f>
        <v>4.48E-2</v>
      </c>
      <c r="K31" s="10">
        <f>overheidsuitgaven_nominaal!U7*-1</f>
        <v>1.723404823940311E-2</v>
      </c>
      <c r="L31" s="10">
        <f>'CPB Data'!G31/100</f>
        <v>0.52200000000000002</v>
      </c>
      <c r="M31" s="10">
        <f>'CPB Data'!C31</f>
        <v>7.7399999999999997E-2</v>
      </c>
      <c r="N31" s="10">
        <f>'CPB Data'!B31</f>
        <v>5.6099999999999997E-2</v>
      </c>
      <c r="O31" s="10">
        <f>Inflatie!E39/100</f>
        <v>1.8000000000000002E-2</v>
      </c>
      <c r="P31" s="10">
        <f t="shared" si="0"/>
        <v>2.7211884161309177E-2</v>
      </c>
      <c r="S31" s="10">
        <f>'AMECO Potential GDP'!C39</f>
        <v>3.3997441052824096E-2</v>
      </c>
      <c r="T31" s="10"/>
      <c r="U31" s="10">
        <f>'AMECO Output Gap'!B37/100</f>
        <v>2.7000000000000003E-2</v>
      </c>
      <c r="X31" s="10">
        <f t="shared" si="7"/>
        <v>2.3922255431394999E-3</v>
      </c>
      <c r="Y31" s="10">
        <f t="shared" si="8"/>
        <v>3.6317121799736849E-3</v>
      </c>
      <c r="Z31" s="10">
        <f t="shared" si="9"/>
        <v>1.8724724611462059E-3</v>
      </c>
      <c r="AA31" s="10">
        <f t="shared" si="1"/>
        <v>2.7000000000000003E-2</v>
      </c>
      <c r="AB31" s="10">
        <f t="shared" si="2"/>
        <v>2.8872472461146208E-2</v>
      </c>
      <c r="AC31" s="10">
        <f t="shared" si="10"/>
        <v>3.0631712179973687E-2</v>
      </c>
      <c r="AD31" s="10">
        <f t="shared" si="3"/>
        <v>2.1418188386062329E-2</v>
      </c>
      <c r="AE31" s="10">
        <f t="shared" si="11"/>
        <v>-3.5652487820026314E-2</v>
      </c>
      <c r="AF31" s="10">
        <f t="shared" si="12"/>
        <v>0.34136128763623985</v>
      </c>
      <c r="AG31" s="10">
        <f t="shared" si="4"/>
        <v>8.6956516523312266E-2</v>
      </c>
      <c r="AH31" s="10">
        <f t="shared" si="13"/>
        <v>0.27707157106913849</v>
      </c>
      <c r="AI31" s="10">
        <f t="shared" si="5"/>
        <v>0.35136128763623986</v>
      </c>
      <c r="AK31" s="24">
        <f t="shared" si="14"/>
        <v>-0.11715295833843997</v>
      </c>
      <c r="AL31" s="24">
        <f t="shared" si="15"/>
        <v>-0.11073253833049412</v>
      </c>
      <c r="AM31" s="24">
        <f t="shared" si="16"/>
        <v>-6.4204200079458484E-3</v>
      </c>
      <c r="AN31" s="10">
        <f t="shared" si="17"/>
        <v>3.9587313283905804E-4</v>
      </c>
      <c r="AO31" s="10">
        <f t="shared" si="6"/>
        <v>-6.2864371981335487E-2</v>
      </c>
    </row>
    <row r="32" spans="1:41" ht="15.75" customHeight="1">
      <c r="A32" s="6">
        <f>'CPB Data'!A32:A83</f>
        <v>2001</v>
      </c>
      <c r="B32" s="7">
        <v>0</v>
      </c>
      <c r="C32" s="13">
        <v>-0.01</v>
      </c>
      <c r="D32" s="14">
        <f>'Correcties CBS'!C8</f>
        <v>1.5154838143696815E-3</v>
      </c>
      <c r="E32" s="14">
        <f t="shared" si="18"/>
        <v>-1.5154838143696815E-3</v>
      </c>
      <c r="H32" s="9"/>
      <c r="I32" s="9"/>
      <c r="J32" s="10">
        <f>'CPB Data'!D32</f>
        <v>2.4400000000000002E-2</v>
      </c>
      <c r="K32" s="10">
        <f>overheidsuitgaven_nominaal!U8*-1</f>
        <v>-1.3717549177491462E-2</v>
      </c>
      <c r="L32" s="10">
        <f>'CPB Data'!G32/100</f>
        <v>0.495</v>
      </c>
      <c r="M32" s="10">
        <f>'CPB Data'!C32</f>
        <v>6.6000000000000003E-2</v>
      </c>
      <c r="N32" s="10">
        <f>'CPB Data'!B32</f>
        <v>5.5199999999999999E-2</v>
      </c>
      <c r="O32" s="10">
        <f>Inflatie!E40/100</f>
        <v>1.8000000000000002E-2</v>
      </c>
      <c r="P32" s="10">
        <f t="shared" si="0"/>
        <v>-4.4394838143696777E-3</v>
      </c>
      <c r="S32" s="10">
        <f>'AMECO Potential GDP'!C40</f>
        <v>3.1111896765069647E-2</v>
      </c>
      <c r="T32" s="10"/>
      <c r="U32" s="10">
        <f>'AMECO Output Gap'!B38/100</f>
        <v>1.9E-2</v>
      </c>
      <c r="X32" s="10">
        <f t="shared" si="7"/>
        <v>1.3312340412254459E-3</v>
      </c>
      <c r="Y32" s="10">
        <f t="shared" si="8"/>
        <v>2.035685341860393E-3</v>
      </c>
      <c r="Z32" s="10">
        <f t="shared" si="9"/>
        <v>1.8724724611462059E-3</v>
      </c>
      <c r="AA32" s="10">
        <f t="shared" si="1"/>
        <v>1.9E-2</v>
      </c>
      <c r="AB32" s="10">
        <f t="shared" si="2"/>
        <v>2.0872472461146204E-2</v>
      </c>
      <c r="AC32" s="10">
        <f t="shared" si="10"/>
        <v>2.1035685341860393E-2</v>
      </c>
      <c r="AD32" s="10">
        <f t="shared" si="3"/>
        <v>1.7071023408689213E-3</v>
      </c>
      <c r="AE32" s="10">
        <f t="shared" si="11"/>
        <v>-1.5288314658139604E-2</v>
      </c>
      <c r="AF32" s="10">
        <f t="shared" si="12"/>
        <v>0.31974431713600726</v>
      </c>
      <c r="AG32" s="10">
        <f t="shared" si="4"/>
        <v>6.8116516523312284E-2</v>
      </c>
      <c r="AH32" s="10">
        <f t="shared" si="13"/>
        <v>0.25559845664966818</v>
      </c>
      <c r="AI32" s="10">
        <f t="shared" si="5"/>
        <v>0.30974431713600725</v>
      </c>
      <c r="AK32" s="24">
        <f t="shared" si="14"/>
        <v>-6.3325782047283563E-2</v>
      </c>
      <c r="AL32" s="24">
        <f t="shared" si="15"/>
        <v>-5.1724137931034475E-2</v>
      </c>
      <c r="AM32" s="24">
        <f t="shared" si="16"/>
        <v>-1.1601644116249088E-2</v>
      </c>
      <c r="AN32" s="10">
        <f t="shared" si="17"/>
        <v>-1.060991501914054E-3</v>
      </c>
      <c r="AO32" s="10">
        <f t="shared" si="6"/>
        <v>-1.0848830843769926E-2</v>
      </c>
    </row>
    <row r="33" spans="1:41" ht="15.75" customHeight="1">
      <c r="A33" s="6">
        <f>'CPB Data'!A33:A84</f>
        <v>2002</v>
      </c>
      <c r="B33" s="7">
        <v>1</v>
      </c>
      <c r="C33" s="13">
        <v>-0.01</v>
      </c>
      <c r="D33" s="14">
        <f>'Correcties CBS'!C9</f>
        <v>-8.2510964912280698E-3</v>
      </c>
      <c r="E33" s="14">
        <f t="shared" si="18"/>
        <v>8.2510964912280698E-3</v>
      </c>
      <c r="H33" s="9"/>
      <c r="I33" s="9"/>
      <c r="J33" s="10">
        <f>'CPB Data'!D33</f>
        <v>5.4999999999999997E-3</v>
      </c>
      <c r="K33" s="10">
        <f>overheidsuitgaven_nominaal!U9*-1</f>
        <v>-1.6523878886610666E-2</v>
      </c>
      <c r="L33" s="10">
        <f>'CPB Data'!G33/100</f>
        <v>0.48899999999999999</v>
      </c>
      <c r="M33" s="10">
        <f>'CPB Data'!C33</f>
        <v>4.0099999999999997E-2</v>
      </c>
      <c r="N33" s="10">
        <f>'CPB Data'!B33</f>
        <v>5.1900000000000002E-2</v>
      </c>
      <c r="O33" s="10">
        <f>Inflatie!E41/100</f>
        <v>1.9E-2</v>
      </c>
      <c r="P33" s="10">
        <f t="shared" si="0"/>
        <v>-1.1628003508771934E-2</v>
      </c>
      <c r="S33" s="10">
        <f>'AMECO Potential GDP'!C41</f>
        <v>2.4858563346476847E-2</v>
      </c>
      <c r="T33" s="10"/>
      <c r="U33" s="10">
        <f>'AMECO Output Gap'!B39/100</f>
        <v>-4.0000000000000001E-3</v>
      </c>
      <c r="X33" s="10">
        <f t="shared" si="7"/>
        <v>1.8555088523051929E-3</v>
      </c>
      <c r="Y33" s="10">
        <f t="shared" si="8"/>
        <v>2.8725354374332314E-3</v>
      </c>
      <c r="Z33" s="10">
        <f t="shared" si="9"/>
        <v>1.8555088523051929E-3</v>
      </c>
      <c r="AA33" s="10">
        <f t="shared" si="1"/>
        <v>-4.0000000000000001E-3</v>
      </c>
      <c r="AB33" s="10">
        <f t="shared" si="2"/>
        <v>-2.144491147694807E-3</v>
      </c>
      <c r="AC33" s="10">
        <f t="shared" si="10"/>
        <v>-1.1274645625667687E-3</v>
      </c>
      <c r="AD33" s="10">
        <f t="shared" si="3"/>
        <v>-1.0371679179214664E-2</v>
      </c>
      <c r="AE33" s="10">
        <f t="shared" si="11"/>
        <v>-1.250656456256677E-2</v>
      </c>
      <c r="AF33" s="10">
        <f t="shared" si="12"/>
        <v>0.31750066517818742</v>
      </c>
      <c r="AG33" s="10">
        <f t="shared" si="4"/>
        <v>4.4686694688616878E-2</v>
      </c>
      <c r="AH33" s="10">
        <f t="shared" si="13"/>
        <v>0.25151790727512913</v>
      </c>
      <c r="AI33" s="10">
        <f t="shared" si="5"/>
        <v>0.30750066517818742</v>
      </c>
      <c r="AK33" s="24">
        <f t="shared" si="14"/>
        <v>-7.0170190291934942E-3</v>
      </c>
      <c r="AL33" s="24">
        <f t="shared" si="15"/>
        <v>-1.2121212121212088E-2</v>
      </c>
      <c r="AM33" s="24">
        <f t="shared" si="16"/>
        <v>5.1041930920185941E-3</v>
      </c>
      <c r="AN33" s="10">
        <f t="shared" si="17"/>
        <v>5.2427481107974691E-4</v>
      </c>
      <c r="AO33" s="10">
        <f t="shared" si="6"/>
        <v>-8.7856105379483657E-4</v>
      </c>
    </row>
    <row r="34" spans="1:41" ht="15.75" customHeight="1">
      <c r="A34" s="6">
        <f>'CPB Data'!A34:A85</f>
        <v>2003</v>
      </c>
      <c r="B34" s="7">
        <v>1</v>
      </c>
      <c r="C34" s="13">
        <v>-0.01</v>
      </c>
      <c r="D34" s="14">
        <f>'Correcties CBS'!C10</f>
        <v>-8.8089943167778597E-3</v>
      </c>
      <c r="E34" s="14">
        <f t="shared" si="18"/>
        <v>8.8089943167778597E-3</v>
      </c>
      <c r="H34" s="9"/>
      <c r="I34" s="9"/>
      <c r="J34" s="10">
        <f>'CPB Data'!D34</f>
        <v>-7.1999999999999998E-3</v>
      </c>
      <c r="K34" s="10">
        <f>overheidsuitgaven_nominaal!U10*-1</f>
        <v>-2.1664443193121885E-2</v>
      </c>
      <c r="L34" s="10">
        <f>'CPB Data'!G34/100</f>
        <v>0.5</v>
      </c>
      <c r="M34" s="10">
        <f>'CPB Data'!C34</f>
        <v>2.4E-2</v>
      </c>
      <c r="N34" s="10">
        <f>'CPB Data'!B34</f>
        <v>4.8500000000000001E-2</v>
      </c>
      <c r="O34" s="10">
        <f>Inflatie!E42/100</f>
        <v>1.9E-2</v>
      </c>
      <c r="P34" s="10">
        <f t="shared" si="0"/>
        <v>-2.2641005683222137E-2</v>
      </c>
      <c r="S34" s="10">
        <f>'AMECO Potential GDP'!C42</f>
        <v>2.0742723318835976E-2</v>
      </c>
      <c r="T34" s="10"/>
      <c r="U34" s="10">
        <f>'AMECO Output Gap'!B40/100</f>
        <v>-2.3E-2</v>
      </c>
      <c r="X34" s="10">
        <f t="shared" si="7"/>
        <v>2.4458883378767047E-3</v>
      </c>
      <c r="Y34" s="10">
        <f t="shared" si="8"/>
        <v>3.7670453274498451E-3</v>
      </c>
      <c r="Z34" s="10">
        <f t="shared" si="9"/>
        <v>2.4458883378767047E-3</v>
      </c>
      <c r="AA34" s="10">
        <f t="shared" si="1"/>
        <v>-2.3E-2</v>
      </c>
      <c r="AB34" s="10">
        <f t="shared" si="2"/>
        <v>-2.0554111662123294E-2</v>
      </c>
      <c r="AC34" s="10">
        <f t="shared" si="10"/>
        <v>-1.9232954672550154E-2</v>
      </c>
      <c r="AD34" s="10">
        <f t="shared" si="3"/>
        <v>-2.8068614798525841E-2</v>
      </c>
      <c r="AE34" s="10">
        <f t="shared" si="11"/>
        <v>-1.0482954672550155E-2</v>
      </c>
      <c r="AF34" s="10">
        <f t="shared" si="12"/>
        <v>0.33656695779753415</v>
      </c>
      <c r="AG34" s="10">
        <f t="shared" si="4"/>
        <v>3.2012466997273975E-2</v>
      </c>
      <c r="AH34" s="10">
        <f t="shared" si="13"/>
        <v>0.26691697235479811</v>
      </c>
      <c r="AI34" s="10">
        <f t="shared" si="5"/>
        <v>0.32656695779753414</v>
      </c>
      <c r="AK34" s="24">
        <f t="shared" si="14"/>
        <v>6.0051189526316051E-2</v>
      </c>
      <c r="AL34" s="24">
        <f t="shared" si="15"/>
        <v>2.249488752556239E-2</v>
      </c>
      <c r="AM34" s="24">
        <f t="shared" si="16"/>
        <v>3.7556302000753661E-2</v>
      </c>
      <c r="AN34" s="10">
        <f t="shared" si="17"/>
        <v>5.9037948557151185E-4</v>
      </c>
      <c r="AO34" s="10">
        <f t="shared" si="6"/>
        <v>1.2158051010671982E-2</v>
      </c>
    </row>
    <row r="35" spans="1:41" ht="15.75" customHeight="1">
      <c r="A35" s="6">
        <f>'CPB Data'!A35:A86</f>
        <v>2004</v>
      </c>
      <c r="B35" s="7">
        <v>0</v>
      </c>
      <c r="C35" s="13">
        <v>0</v>
      </c>
      <c r="D35" s="14">
        <f>'Correcties CBS'!C11</f>
        <v>7.8196688609615005E-4</v>
      </c>
      <c r="E35" s="14">
        <f t="shared" si="18"/>
        <v>-7.8196688609615005E-4</v>
      </c>
      <c r="H35" s="9"/>
      <c r="I35" s="9"/>
      <c r="J35" s="10">
        <f>'CPB Data'!D35</f>
        <v>5.4000000000000003E-3</v>
      </c>
      <c r="K35" s="10">
        <f>overheidsuitgaven_nominaal!U11*-1</f>
        <v>1.6753168226658177E-2</v>
      </c>
      <c r="L35" s="10">
        <f>'CPB Data'!G35/100</f>
        <v>0.503</v>
      </c>
      <c r="M35" s="10">
        <f>'CPB Data'!C35</f>
        <v>3.2199999999999999E-2</v>
      </c>
      <c r="N35" s="10">
        <f>'CPB Data'!B35</f>
        <v>4.6399999999999997E-2</v>
      </c>
      <c r="O35" s="10">
        <f>Inflatie!E43/100</f>
        <v>1.9E-2</v>
      </c>
      <c r="P35" s="10">
        <f t="shared" si="0"/>
        <v>-1.8721166886096145E-2</v>
      </c>
      <c r="S35" s="10">
        <f>'AMECO Potential GDP'!C43</f>
        <v>1.835463782366431E-2</v>
      </c>
      <c r="T35" s="10"/>
      <c r="U35" s="10">
        <f>'AMECO Output Gap'!B41/100</f>
        <v>-2.1000000000000001E-2</v>
      </c>
      <c r="X35" s="10">
        <f t="shared" si="7"/>
        <v>2.8347493135250216E-3</v>
      </c>
      <c r="Y35" s="10">
        <f t="shared" si="8"/>
        <v>4.2112709638453261E-3</v>
      </c>
      <c r="Z35" s="10">
        <f t="shared" si="9"/>
        <v>2.4458883378767047E-3</v>
      </c>
      <c r="AA35" s="10">
        <f t="shared" si="1"/>
        <v>-2.1000000000000001E-2</v>
      </c>
      <c r="AB35" s="10">
        <f t="shared" si="2"/>
        <v>-1.8554111662123295E-2</v>
      </c>
      <c r="AC35" s="10">
        <f t="shared" si="10"/>
        <v>-1.6788729036154675E-2</v>
      </c>
      <c r="AD35" s="10">
        <f t="shared" si="3"/>
        <v>-3.603683042179312E-2</v>
      </c>
      <c r="AE35" s="10">
        <f t="shared" si="11"/>
        <v>-1.9127929036154671E-2</v>
      </c>
      <c r="AF35" s="10">
        <f t="shared" si="12"/>
        <v>0.35992999727529473</v>
      </c>
      <c r="AG35" s="10">
        <f t="shared" si="4"/>
        <v>4.6572466997273979E-2</v>
      </c>
      <c r="AH35" s="10">
        <f t="shared" si="13"/>
        <v>0.28534860971176118</v>
      </c>
      <c r="AI35" s="10">
        <f t="shared" si="5"/>
        <v>0.35992999727529473</v>
      </c>
      <c r="AK35" s="24">
        <f t="shared" si="14"/>
        <v>6.9415725270972395E-2</v>
      </c>
      <c r="AL35" s="24">
        <f t="shared" si="15"/>
        <v>6.0000000000000053E-3</v>
      </c>
      <c r="AM35" s="24">
        <f t="shared" si="16"/>
        <v>6.341572527097239E-2</v>
      </c>
      <c r="AN35" s="10">
        <f t="shared" si="17"/>
        <v>3.888609756483169E-4</v>
      </c>
      <c r="AO35" s="10">
        <f t="shared" si="6"/>
        <v>-4.0676215005852612E-4</v>
      </c>
    </row>
    <row r="36" spans="1:41" ht="15.75" customHeight="1">
      <c r="A36" s="6">
        <f>'CPB Data'!A36:A87</f>
        <v>2005</v>
      </c>
      <c r="B36" s="7">
        <v>0</v>
      </c>
      <c r="C36" s="13">
        <v>0.01</v>
      </c>
      <c r="D36" s="14">
        <f>'Correcties CBS'!C12</f>
        <v>1.0244033252882812E-2</v>
      </c>
      <c r="E36" s="14">
        <f t="shared" si="18"/>
        <v>-1.0244033252882812E-2</v>
      </c>
      <c r="H36" s="9"/>
      <c r="I36" s="9"/>
      <c r="J36" s="10">
        <f>'CPB Data'!D36</f>
        <v>1.7000000000000001E-2</v>
      </c>
      <c r="K36" s="10">
        <f>overheidsuitgaven_nominaal!U12*-1</f>
        <v>1.6029821601865168E-2</v>
      </c>
      <c r="L36" s="10">
        <f>'CPB Data'!G36/100</f>
        <v>0.498</v>
      </c>
      <c r="M36" s="10">
        <f>'CPB Data'!C36</f>
        <v>4.1399999999999999E-2</v>
      </c>
      <c r="N36" s="10">
        <f>'CPB Data'!B36</f>
        <v>4.3099999999999999E-2</v>
      </c>
      <c r="O36" s="10">
        <f>Inflatie!E44/100</f>
        <v>1.9E-2</v>
      </c>
      <c r="P36" s="10">
        <f t="shared" si="0"/>
        <v>-1.4707833252882808E-2</v>
      </c>
      <c r="S36" s="10">
        <f>'AMECO Potential GDP'!C44</f>
        <v>1.544898616028334E-2</v>
      </c>
      <c r="T36" s="10"/>
      <c r="U36" s="10">
        <f>'AMECO Output Gap'!B42/100</f>
        <v>-1.6E-2</v>
      </c>
      <c r="X36" s="10">
        <f t="shared" si="7"/>
        <v>3.1384611055607255E-3</v>
      </c>
      <c r="Y36" s="10">
        <f t="shared" si="8"/>
        <v>4.3859804629998861E-3</v>
      </c>
      <c r="Z36" s="10">
        <f t="shared" si="9"/>
        <v>2.4458883378767047E-3</v>
      </c>
      <c r="AA36" s="10">
        <f t="shared" si="1"/>
        <v>-1.6E-2</v>
      </c>
      <c r="AB36" s="10">
        <f t="shared" si="2"/>
        <v>-1.3554111662123296E-2</v>
      </c>
      <c r="AC36" s="10">
        <f t="shared" si="10"/>
        <v>-1.1614019537000114E-2</v>
      </c>
      <c r="AD36" s="10">
        <f t="shared" si="3"/>
        <v>-4.0321375653089957E-2</v>
      </c>
      <c r="AE36" s="10">
        <f t="shared" si="11"/>
        <v>-2.7077819537000114E-2</v>
      </c>
      <c r="AF36" s="10">
        <f t="shared" si="12"/>
        <v>0.38336962269336083</v>
      </c>
      <c r="AG36" s="10">
        <f t="shared" si="4"/>
        <v>5.9732466997273977E-2</v>
      </c>
      <c r="AH36" s="10">
        <f t="shared" si="13"/>
        <v>0.30332682041548797</v>
      </c>
      <c r="AI36" s="10">
        <f t="shared" si="5"/>
        <v>0.39336962269336084</v>
      </c>
      <c r="AK36" s="24">
        <f t="shared" si="14"/>
        <v>6.512273385243339E-2</v>
      </c>
      <c r="AL36" s="24">
        <f t="shared" si="15"/>
        <v>-9.9403578528827197E-3</v>
      </c>
      <c r="AM36" s="24">
        <f t="shared" si="16"/>
        <v>7.506309170531611E-2</v>
      </c>
      <c r="AN36" s="10">
        <f t="shared" si="17"/>
        <v>3.0371179203570386E-4</v>
      </c>
      <c r="AO36" s="10">
        <f t="shared" si="6"/>
        <v>-1.2369986284117306E-2</v>
      </c>
    </row>
    <row r="37" spans="1:41" ht="15.75" customHeight="1">
      <c r="A37" s="6">
        <f>'CPB Data'!A37:A88</f>
        <v>2006</v>
      </c>
      <c r="B37" s="7">
        <v>1</v>
      </c>
      <c r="C37" s="13">
        <v>0.02</v>
      </c>
      <c r="D37" s="14">
        <f>'Correcties CBS'!C13</f>
        <v>-1.8599155813701793E-2</v>
      </c>
      <c r="E37" s="14">
        <f t="shared" si="18"/>
        <v>1.8599155813701793E-2</v>
      </c>
      <c r="H37" s="15"/>
      <c r="I37" s="16"/>
      <c r="J37" s="10">
        <f>'CPB Data'!D37</f>
        <v>1.9800000000000002E-2</v>
      </c>
      <c r="K37" s="10">
        <f>overheidsuitgaven_nominaal!U13*-1</f>
        <v>-3.5966382373434524E-2</v>
      </c>
      <c r="L37" s="10">
        <f>'CPB Data'!G37/100</f>
        <v>0.45200000000000001</v>
      </c>
      <c r="M37" s="10">
        <f>'CPB Data'!C37</f>
        <v>6.1899999999999997E-2</v>
      </c>
      <c r="N37" s="10">
        <f>'CPB Data'!B37</f>
        <v>4.0500000000000001E-2</v>
      </c>
      <c r="O37" s="10">
        <f>Inflatie!E45/100</f>
        <v>1.9E-2</v>
      </c>
      <c r="P37" s="10">
        <f t="shared" si="0"/>
        <v>2.0093155813701791E-2</v>
      </c>
      <c r="S37" s="10">
        <f>'AMECO Potential GDP'!C45</f>
        <v>1.8066561014262961E-2</v>
      </c>
      <c r="T37" s="10"/>
      <c r="U37" s="10">
        <f>'AMECO Output Gap'!B43/100</f>
        <v>0</v>
      </c>
      <c r="X37" s="10">
        <f t="shared" si="7"/>
        <v>3.2060893828681257E-3</v>
      </c>
      <c r="Y37" s="10">
        <f t="shared" si="8"/>
        <v>4.1647340273107585E-3</v>
      </c>
      <c r="Z37" s="10">
        <f t="shared" si="9"/>
        <v>3.2060893828681257E-3</v>
      </c>
      <c r="AA37" s="10">
        <f t="shared" si="1"/>
        <v>0</v>
      </c>
      <c r="AB37" s="10">
        <f t="shared" si="2"/>
        <v>3.2060893828681257E-3</v>
      </c>
      <c r="AC37" s="10">
        <f t="shared" si="10"/>
        <v>4.1647340273107585E-3</v>
      </c>
      <c r="AD37" s="10">
        <f t="shared" si="3"/>
        <v>7.4233078086399645E-3</v>
      </c>
      <c r="AE37" s="10">
        <f t="shared" si="11"/>
        <v>-3.4141265972689246E-2</v>
      </c>
      <c r="AF37" s="10">
        <f t="shared" si="12"/>
        <v>0.35510956513407288</v>
      </c>
      <c r="AG37" s="10">
        <f t="shared" si="4"/>
        <v>7.1856346370279128E-2</v>
      </c>
      <c r="AH37" s="10">
        <f t="shared" si="13"/>
        <v>0.27410978387233265</v>
      </c>
      <c r="AI37" s="10">
        <f t="shared" si="5"/>
        <v>0.3751095651340729</v>
      </c>
      <c r="AK37" s="24">
        <f t="shared" si="14"/>
        <v>-7.3714910849605353E-2</v>
      </c>
      <c r="AL37" s="24">
        <f t="shared" si="15"/>
        <v>-9.2369477911646514E-2</v>
      </c>
      <c r="AM37" s="24">
        <f t="shared" si="16"/>
        <v>1.8654567062041161E-2</v>
      </c>
      <c r="AN37" s="10">
        <f t="shared" si="17"/>
        <v>6.7628277307400265E-5</v>
      </c>
      <c r="AO37" s="10">
        <f t="shared" si="6"/>
        <v>-5.423442178639104E-2</v>
      </c>
    </row>
    <row r="38" spans="1:41" ht="14.4">
      <c r="A38" s="6">
        <f>'CPB Data'!A38:A89</f>
        <v>2007</v>
      </c>
      <c r="B38" s="7">
        <v>1</v>
      </c>
      <c r="C38" s="13">
        <v>-0.02</v>
      </c>
      <c r="D38" s="14">
        <f>'Correcties CBS'!C14</f>
        <v>1.0688815890252412E-3</v>
      </c>
      <c r="E38" s="14">
        <f t="shared" si="18"/>
        <v>-1.0688815890252412E-3</v>
      </c>
      <c r="H38" s="17">
        <v>0.01</v>
      </c>
      <c r="I38" s="18">
        <v>0</v>
      </c>
      <c r="J38" s="10">
        <f>'CPB Data'!D38</f>
        <v>1.7299999999999999E-2</v>
      </c>
      <c r="K38" s="10">
        <f>overheidsuitgaven_nominaal!U14*-1</f>
        <v>1.6223473355860052E-2</v>
      </c>
      <c r="L38" s="10">
        <f>'CPB Data'!G38/100</f>
        <v>0.43</v>
      </c>
      <c r="M38" s="10">
        <f>'CPB Data'!C38</f>
        <v>5.9799999999999999E-2</v>
      </c>
      <c r="N38" s="10">
        <f>'CPB Data'!B38</f>
        <v>4.3499999999999997E-2</v>
      </c>
      <c r="O38" s="10">
        <f>Inflatie!E46/100</f>
        <v>1.9E-2</v>
      </c>
      <c r="P38" s="10">
        <f t="shared" si="0"/>
        <v>-2.4738815890252412E-3</v>
      </c>
      <c r="S38" s="10">
        <f>'AMECO Potential GDP'!C46</f>
        <v>1.9458281444582726E-2</v>
      </c>
      <c r="T38" s="10"/>
      <c r="U38" s="10">
        <f>'AMECO Output Gap'!B44/100</f>
        <v>1.8000000000000002E-2</v>
      </c>
      <c r="X38" s="10">
        <f t="shared" si="7"/>
        <v>1.1756690177601062E-3</v>
      </c>
      <c r="Y38" s="10">
        <f t="shared" si="8"/>
        <v>1.4964463033456594E-3</v>
      </c>
      <c r="Z38" s="10">
        <f t="shared" si="9"/>
        <v>1.1756690177601062E-3</v>
      </c>
      <c r="AA38" s="10">
        <f t="shared" si="1"/>
        <v>1.8000000000000002E-2</v>
      </c>
      <c r="AB38" s="10">
        <f t="shared" si="2"/>
        <v>1.9175669017760109E-2</v>
      </c>
      <c r="AC38" s="10">
        <f t="shared" si="10"/>
        <v>1.9496446303345662E-2</v>
      </c>
      <c r="AD38" s="10">
        <f t="shared" si="3"/>
        <v>3.640306106969297E-3</v>
      </c>
      <c r="AE38" s="10">
        <f t="shared" si="11"/>
        <v>2.7914463033456606E-3</v>
      </c>
      <c r="AF38" s="10">
        <f t="shared" si="12"/>
        <v>0.33256278900610509</v>
      </c>
      <c r="AG38" s="10">
        <f t="shared" si="4"/>
        <v>5.8674598589343936E-2</v>
      </c>
      <c r="AH38" s="10">
        <f t="shared" si="13"/>
        <v>0.2530775484733927</v>
      </c>
      <c r="AI38" s="10">
        <f t="shared" si="5"/>
        <v>0.31256278900610507</v>
      </c>
      <c r="AK38" s="24">
        <f t="shared" si="14"/>
        <v>-6.3492449490779479E-2</v>
      </c>
      <c r="AL38" s="24">
        <f t="shared" si="15"/>
        <v>-4.8672566371681492E-2</v>
      </c>
      <c r="AM38" s="24">
        <f t="shared" si="16"/>
        <v>-1.4819883119097987E-2</v>
      </c>
      <c r="AN38" s="10">
        <f t="shared" si="17"/>
        <v>-2.0304203651080196E-3</v>
      </c>
      <c r="AO38" s="10">
        <f t="shared" si="6"/>
        <v>5.2653278923709013E-3</v>
      </c>
    </row>
    <row r="39" spans="1:41" ht="14.4">
      <c r="A39" s="6">
        <f>'CPB Data'!A39:A90</f>
        <v>2008</v>
      </c>
      <c r="B39" s="7">
        <v>0</v>
      </c>
      <c r="C39" s="13">
        <v>0</v>
      </c>
      <c r="D39" s="14">
        <f>'Correcties CBS'!C15</f>
        <v>0.14427206277369886</v>
      </c>
      <c r="E39" s="14">
        <f t="shared" si="18"/>
        <v>-0.14427206277369886</v>
      </c>
      <c r="H39" s="17"/>
      <c r="I39" s="18"/>
      <c r="J39" s="10">
        <f>'CPB Data'!D39</f>
        <v>2.1700000000000001E-2</v>
      </c>
      <c r="K39" s="10">
        <f>overheidsuitgaven_nominaal!U15*-1</f>
        <v>-1.3232166010085811E-2</v>
      </c>
      <c r="L39" s="10">
        <f>'CPB Data'!G39/100</f>
        <v>0.54700000000000004</v>
      </c>
      <c r="M39" s="10">
        <f>'CPB Data'!C39</f>
        <v>4.5499999999999999E-2</v>
      </c>
      <c r="N39" s="10">
        <f>'CPB Data'!B39</f>
        <v>4.7500000000000001E-2</v>
      </c>
      <c r="O39" s="10">
        <f>Inflatie!E47/100</f>
        <v>0.02</v>
      </c>
      <c r="P39" s="10">
        <f t="shared" si="0"/>
        <v>-0.14855456277369886</v>
      </c>
      <c r="S39" s="10">
        <f>'AMECO Potential GDP'!C47</f>
        <v>1.7407237746220661E-2</v>
      </c>
      <c r="T39" s="10"/>
      <c r="U39" s="10">
        <f>'AMECO Output Gap'!B45/100</f>
        <v>2.2000000000000002E-2</v>
      </c>
      <c r="X39" s="10">
        <f t="shared" si="7"/>
        <v>1.614593493193628E-3</v>
      </c>
      <c r="Y39" s="10">
        <f t="shared" si="8"/>
        <v>2.0876514902589262E-3</v>
      </c>
      <c r="Z39" s="10">
        <f t="shared" si="9"/>
        <v>1.1756690177601062E-3</v>
      </c>
      <c r="AA39" s="10">
        <f t="shared" si="1"/>
        <v>2.2000000000000002E-2</v>
      </c>
      <c r="AB39" s="10">
        <f t="shared" si="2"/>
        <v>2.3175669017760109E-2</v>
      </c>
      <c r="AC39" s="10">
        <f t="shared" si="10"/>
        <v>2.4087651490258929E-2</v>
      </c>
      <c r="AD39" s="10">
        <f t="shared" si="3"/>
        <v>-0.14242509387443908</v>
      </c>
      <c r="AE39" s="10">
        <f t="shared" si="11"/>
        <v>-2.3894848509741076E-2</v>
      </c>
      <c r="AF39" s="10">
        <f t="shared" si="12"/>
        <v>0.44902526565263873</v>
      </c>
      <c r="AG39" s="10">
        <f t="shared" si="4"/>
        <v>4.4614598589343933E-2</v>
      </c>
      <c r="AH39" s="10">
        <f t="shared" si="13"/>
        <v>0.36970106133241731</v>
      </c>
      <c r="AI39" s="10">
        <f t="shared" si="5"/>
        <v>0.44902526565263873</v>
      </c>
      <c r="AK39" s="24">
        <f t="shared" si="14"/>
        <v>0.35019695677496765</v>
      </c>
      <c r="AL39" s="24">
        <f t="shared" si="15"/>
        <v>0.27209302325581408</v>
      </c>
      <c r="AM39" s="24">
        <f t="shared" si="16"/>
        <v>7.8103933519153568E-2</v>
      </c>
      <c r="AN39" s="10">
        <f t="shared" si="17"/>
        <v>4.389244754335218E-4</v>
      </c>
      <c r="AO39" s="10">
        <f t="shared" si="6"/>
        <v>0.12465971426395778</v>
      </c>
    </row>
    <row r="40" spans="1:41" ht="14.4">
      <c r="A40" s="6">
        <f>'CPB Data'!A40:A91</f>
        <v>2009</v>
      </c>
      <c r="B40" s="7">
        <v>0</v>
      </c>
      <c r="C40" s="13">
        <v>0.1</v>
      </c>
      <c r="D40" s="14">
        <f>'Correcties CBS'!C16</f>
        <v>-5.3767377513834529E-2</v>
      </c>
      <c r="E40" s="14">
        <f t="shared" si="18"/>
        <v>5.3767377513834529E-2</v>
      </c>
      <c r="H40" s="17"/>
      <c r="I40" s="18"/>
      <c r="J40" s="10">
        <f>'CPB Data'!D40</f>
        <v>-3.1800000000000002E-2</v>
      </c>
      <c r="K40" s="10">
        <f>overheidsuitgaven_nominaal!U16*-1</f>
        <v>-8.1050711081871563E-2</v>
      </c>
      <c r="L40" s="10">
        <f>'CPB Data'!G40/100</f>
        <v>0.56799999999999995</v>
      </c>
      <c r="M40" s="10">
        <f>'CPB Data'!C40</f>
        <v>-3.5099999999999999E-2</v>
      </c>
      <c r="N40" s="10">
        <f>'CPB Data'!B40</f>
        <v>3.7199999999999997E-2</v>
      </c>
      <c r="O40" s="10">
        <f>Inflatie!E48/100</f>
        <v>1.9E-2</v>
      </c>
      <c r="P40" s="10">
        <f t="shared" si="0"/>
        <v>8.377775138345353E-4</v>
      </c>
      <c r="S40" s="10">
        <f>'AMECO Potential GDP'!C48</f>
        <v>1.0505778177997804E-2</v>
      </c>
      <c r="T40" s="10"/>
      <c r="U40" s="10">
        <f>'AMECO Output Gap'!B46/100</f>
        <v>-2.6000000000000002E-2</v>
      </c>
      <c r="X40" s="10">
        <f t="shared" si="7"/>
        <v>4.3684920321337087E-3</v>
      </c>
      <c r="Y40" s="10">
        <f t="shared" si="8"/>
        <v>5.3216719065997536E-3</v>
      </c>
      <c r="Z40" s="10">
        <f t="shared" si="9"/>
        <v>1.1756690177601062E-3</v>
      </c>
      <c r="AA40" s="10">
        <f t="shared" si="1"/>
        <v>-2.6000000000000002E-2</v>
      </c>
      <c r="AB40" s="10">
        <f t="shared" si="2"/>
        <v>-2.4824330982239896E-2</v>
      </c>
      <c r="AC40" s="10">
        <f t="shared" si="10"/>
        <v>-2.0678328093400249E-2</v>
      </c>
      <c r="AD40" s="10">
        <f t="shared" si="3"/>
        <v>1.2103542256619422E-2</v>
      </c>
      <c r="AE40" s="10">
        <f t="shared" si="11"/>
        <v>-0.11580792809340025</v>
      </c>
      <c r="AF40" s="10">
        <f t="shared" si="12"/>
        <v>0.45267484610148434</v>
      </c>
      <c r="AG40" s="10">
        <f t="shared" si="4"/>
        <v>-3.9285401410656062E-2</v>
      </c>
      <c r="AH40" s="10">
        <f t="shared" si="13"/>
        <v>0.36900750212699096</v>
      </c>
      <c r="AI40" s="10">
        <f t="shared" si="5"/>
        <v>0.55267484610148432</v>
      </c>
      <c r="AK40" s="24">
        <f t="shared" si="14"/>
        <v>8.1277841761111524E-3</v>
      </c>
      <c r="AL40" s="24">
        <f t="shared" si="15"/>
        <v>3.8391224862888373E-2</v>
      </c>
      <c r="AM40" s="24">
        <f t="shared" si="16"/>
        <v>-3.0263440686777221E-2</v>
      </c>
      <c r="AN40" s="10">
        <f t="shared" si="17"/>
        <v>2.7538985389400808E-3</v>
      </c>
      <c r="AO40" s="10">
        <f t="shared" si="6"/>
        <v>-0.11664570560723478</v>
      </c>
    </row>
    <row r="41" spans="1:41" ht="14.4">
      <c r="A41" s="6">
        <f>'CPB Data'!A41:A92</f>
        <v>2010</v>
      </c>
      <c r="B41" s="7">
        <v>1</v>
      </c>
      <c r="C41" s="13">
        <v>-0.02</v>
      </c>
      <c r="D41" s="14">
        <f>'Correcties CBS'!C17</f>
        <v>-1.6722512916164601E-2</v>
      </c>
      <c r="E41" s="14">
        <f t="shared" si="18"/>
        <v>1.6722512916164601E-2</v>
      </c>
      <c r="H41" s="17">
        <v>-2.9000000000000001E-2</v>
      </c>
      <c r="I41" s="18">
        <v>1.6799999999999999E-2</v>
      </c>
      <c r="J41" s="10">
        <f>'CPB Data'!D41</f>
        <v>-3.56E-2</v>
      </c>
      <c r="K41" s="10">
        <f>overheidsuitgaven_nominaal!U17*-1</f>
        <v>-1.5032309908139307E-2</v>
      </c>
      <c r="L41" s="10">
        <f>'CPB Data'!G41/100</f>
        <v>0.59299999999999997</v>
      </c>
      <c r="M41" s="10">
        <f>'CPB Data'!C41</f>
        <v>2.2100000000000002E-2</v>
      </c>
      <c r="N41" s="10">
        <f>'CPB Data'!B41</f>
        <v>3.1399999999999997E-2</v>
      </c>
      <c r="O41" s="10">
        <f>Inflatie!E49/100</f>
        <v>1.9E-2</v>
      </c>
      <c r="P41" s="10">
        <f t="shared" si="0"/>
        <v>-3.7497687083835399E-2</v>
      </c>
      <c r="S41" s="10">
        <f>'AMECO Potential GDP'!C49</f>
        <v>6.6834991831279389E-3</v>
      </c>
      <c r="T41" s="10"/>
      <c r="U41" s="10">
        <f>'AMECO Output Gap'!B47/100</f>
        <v>-1.9E-2</v>
      </c>
      <c r="X41" s="10">
        <f t="shared" si="7"/>
        <v>3.3831579705260921E-3</v>
      </c>
      <c r="Y41" s="10">
        <f t="shared" si="8"/>
        <v>4.2450640759217548E-3</v>
      </c>
      <c r="Z41" s="10">
        <f t="shared" si="9"/>
        <v>3.3831579705260921E-3</v>
      </c>
      <c r="AA41" s="10">
        <f t="shared" si="1"/>
        <v>-1.9E-2</v>
      </c>
      <c r="AB41" s="10">
        <f t="shared" si="2"/>
        <v>-1.5616842029473908E-2</v>
      </c>
      <c r="AC41" s="10">
        <f t="shared" si="10"/>
        <v>-1.4754935924078245E-2</v>
      </c>
      <c r="AD41" s="10">
        <f t="shared" si="3"/>
        <v>-1.3203683768437707E-2</v>
      </c>
      <c r="AE41" s="10">
        <f t="shared" si="11"/>
        <v>5.6248640759217587E-3</v>
      </c>
      <c r="AF41" s="10">
        <f t="shared" si="12"/>
        <v>0.45571193169198732</v>
      </c>
      <c r="AG41" s="10">
        <f t="shared" si="4"/>
        <v>1.0110105217684347E-2</v>
      </c>
      <c r="AH41" s="10">
        <f t="shared" si="13"/>
        <v>0.37569039736049947</v>
      </c>
      <c r="AI41" s="10">
        <f t="shared" si="5"/>
        <v>0.4357119316919873</v>
      </c>
      <c r="AK41" s="24">
        <f t="shared" si="14"/>
        <v>6.7091989242584749E-3</v>
      </c>
      <c r="AL41" s="24">
        <f t="shared" si="15"/>
        <v>4.401408450704225E-2</v>
      </c>
      <c r="AM41" s="24">
        <f t="shared" si="16"/>
        <v>-3.7304885582783776E-2</v>
      </c>
      <c r="AN41" s="10">
        <f t="shared" si="17"/>
        <v>-9.8533406160761661E-4</v>
      </c>
      <c r="AO41" s="10">
        <f t="shared" si="6"/>
        <v>4.3122551159757161E-2</v>
      </c>
    </row>
    <row r="42" spans="1:41" ht="14.4">
      <c r="A42" s="6">
        <f>'CPB Data'!A42:A93</f>
        <v>2011</v>
      </c>
      <c r="B42" s="7">
        <v>0</v>
      </c>
      <c r="C42" s="13">
        <v>-0.02</v>
      </c>
      <c r="D42" s="14">
        <f>'Correcties CBS'!C18</f>
        <v>-1.0294117647058823E-2</v>
      </c>
      <c r="E42" s="14">
        <f t="shared" si="18"/>
        <v>1.0294117647058823E-2</v>
      </c>
      <c r="H42" s="17"/>
      <c r="I42" s="18"/>
      <c r="J42" s="10">
        <f>'CPB Data'!D42</f>
        <v>-2.6499999999999999E-2</v>
      </c>
      <c r="K42" s="10">
        <f>overheidsuitgaven_nominaal!U18*-1</f>
        <v>2.6442824305141555E-2</v>
      </c>
      <c r="L42" s="10">
        <f>'CPB Data'!G42/100</f>
        <v>0.61699999999999999</v>
      </c>
      <c r="M42" s="10">
        <f>'CPB Data'!C42</f>
        <v>1.7999999999999999E-2</v>
      </c>
      <c r="N42" s="10">
        <f>'CPB Data'!B42</f>
        <v>3.0200000000000001E-2</v>
      </c>
      <c r="O42" s="10">
        <f>Inflatie!E50/100</f>
        <v>0.02</v>
      </c>
      <c r="P42" s="10">
        <f t="shared" si="0"/>
        <v>-3.4839282352941182E-2</v>
      </c>
      <c r="S42" s="10">
        <f>'AMECO Potential GDP'!C50</f>
        <v>7.6718796105046394E-3</v>
      </c>
      <c r="T42" s="10"/>
      <c r="U42" s="10">
        <f>'AMECO Output Gap'!B48/100</f>
        <v>-1.2E-2</v>
      </c>
      <c r="X42" s="10"/>
      <c r="Y42" s="10">
        <f t="shared" si="8"/>
        <v>3.3050009940736773E-3</v>
      </c>
      <c r="Z42" s="10">
        <f t="shared" si="9"/>
        <v>3.3831579705260921E-3</v>
      </c>
      <c r="AA42" s="10">
        <f t="shared" si="1"/>
        <v>-1.2E-2</v>
      </c>
      <c r="AB42" s="10">
        <f t="shared" si="2"/>
        <v>-8.616842029473909E-3</v>
      </c>
      <c r="AC42" s="10">
        <f t="shared" si="10"/>
        <v>-8.6949990059263238E-3</v>
      </c>
      <c r="AD42" s="10">
        <f t="shared" si="3"/>
        <v>-1.2200400338826982E-2</v>
      </c>
      <c r="AE42" s="10">
        <f t="shared" si="11"/>
        <v>4.6716009940736755E-3</v>
      </c>
      <c r="AF42" s="10">
        <f t="shared" si="12"/>
        <v>0.45952569392092374</v>
      </c>
      <c r="AG42" s="10">
        <f t="shared" si="4"/>
        <v>7.2701052176843452E-3</v>
      </c>
      <c r="AH42" s="10">
        <f t="shared" si="13"/>
        <v>0.38257759239257916</v>
      </c>
      <c r="AI42" s="10">
        <f t="shared" si="5"/>
        <v>0.43952569392092372</v>
      </c>
      <c r="AK42" s="24">
        <f t="shared" si="14"/>
        <v>8.3688004717727971E-3</v>
      </c>
      <c r="AL42" s="24">
        <f t="shared" si="15"/>
        <v>4.04721753794266E-2</v>
      </c>
      <c r="AM42" s="24">
        <f t="shared" si="16"/>
        <v>-3.2103374907653803E-2</v>
      </c>
      <c r="AN42" s="10">
        <f t="shared" si="17"/>
        <v>-3.3831579705260921E-3</v>
      </c>
      <c r="AO42" s="10">
        <f t="shared" si="6"/>
        <v>3.9510883347014858E-2</v>
      </c>
    </row>
    <row r="43" spans="1:41" ht="14.4">
      <c r="A43" s="6">
        <f>'CPB Data'!A43:A94</f>
        <v>2012</v>
      </c>
      <c r="B43" s="7">
        <v>1</v>
      </c>
      <c r="C43" s="13">
        <v>-0.02</v>
      </c>
      <c r="D43" s="14">
        <f>'Correcties CBS'!C19</f>
        <v>8.8606777142487964E-3</v>
      </c>
      <c r="E43" s="14">
        <f t="shared" si="18"/>
        <v>-8.8606777142487964E-3</v>
      </c>
      <c r="H43" s="17">
        <v>-2.5999999999999999E-2</v>
      </c>
      <c r="I43" s="18">
        <v>1.8599999999999998E-2</v>
      </c>
      <c r="J43" s="10">
        <f>'CPB Data'!D43</f>
        <v>-2.2499999999999999E-2</v>
      </c>
      <c r="K43" s="10">
        <f>overheidsuitgaven_nominaal!U19*-1</f>
        <v>9.0552927222486979E-4</v>
      </c>
      <c r="L43" s="10">
        <f>'CPB Data'!G43/100</f>
        <v>0.66200000000000003</v>
      </c>
      <c r="M43" s="10">
        <f>'CPB Data'!C43</f>
        <v>3.8999999999999998E-3</v>
      </c>
      <c r="N43" s="10">
        <f>'CPB Data'!B43</f>
        <v>2.7199999999999998E-2</v>
      </c>
      <c r="O43" s="10">
        <f>Inflatie!E51/100</f>
        <v>0.02</v>
      </c>
      <c r="P43" s="10">
        <f t="shared" si="0"/>
        <v>-4.9367077714248794E-2</v>
      </c>
      <c r="S43" s="10">
        <f>'AMECO Potential GDP'!C51</f>
        <v>4.3923865300146137E-3</v>
      </c>
      <c r="T43" s="11">
        <v>0.01</v>
      </c>
      <c r="U43" s="10">
        <f>'AMECO Output Gap'!B49/100</f>
        <v>-2.6000000000000002E-2</v>
      </c>
      <c r="X43" s="10">
        <f>((1+N42)/(1+S42+O42)-1)*AF42</f>
        <v>1.1304544761298544E-3</v>
      </c>
      <c r="Y43" s="10">
        <f t="shared" si="8"/>
        <v>1.5178485577612684E-3</v>
      </c>
      <c r="Z43" s="10">
        <f t="shared" si="9"/>
        <v>1.1304544761298544E-3</v>
      </c>
      <c r="AA43" s="10">
        <f t="shared" si="1"/>
        <v>-2.6000000000000002E-2</v>
      </c>
      <c r="AB43" s="10">
        <f t="shared" si="2"/>
        <v>-2.4869545523870148E-2</v>
      </c>
      <c r="AC43" s="10">
        <f t="shared" si="10"/>
        <v>-2.4482151442238732E-2</v>
      </c>
      <c r="AD43" s="10">
        <f t="shared" si="3"/>
        <v>-4.7433317606199843E-2</v>
      </c>
      <c r="AE43" s="10">
        <f t="shared" si="11"/>
        <v>3.5114485577612715E-3</v>
      </c>
      <c r="AF43" s="10">
        <f t="shared" si="12"/>
        <v>0.50379023412062129</v>
      </c>
      <c r="AG43" s="10">
        <f t="shared" si="4"/>
        <v>5.3217273143220892E-3</v>
      </c>
      <c r="AH43" s="10">
        <f t="shared" si="13"/>
        <v>0.42445509188757513</v>
      </c>
      <c r="AI43" s="10">
        <f t="shared" si="5"/>
        <v>0.48379023412062128</v>
      </c>
      <c r="AK43" s="24">
        <f t="shared" si="14"/>
        <v>9.6326583660661935E-2</v>
      </c>
      <c r="AL43" s="24">
        <f t="shared" si="15"/>
        <v>7.293354943273922E-2</v>
      </c>
      <c r="AM43" s="24">
        <f t="shared" si="16"/>
        <v>2.3393034227922715E-2</v>
      </c>
      <c r="AN43" s="10">
        <f t="shared" si="17"/>
        <v>1.1304544761298544E-3</v>
      </c>
      <c r="AO43" s="10">
        <f t="shared" si="6"/>
        <v>5.2878526272010062E-2</v>
      </c>
    </row>
    <row r="44" spans="1:41" ht="14.4">
      <c r="A44" s="6">
        <f>'CPB Data'!A44:A95</f>
        <v>2013</v>
      </c>
      <c r="B44" s="7">
        <v>0</v>
      </c>
      <c r="C44" s="13">
        <v>0.01</v>
      </c>
      <c r="D44" s="14">
        <f>'Correcties CBS'!C20</f>
        <v>-7.8332482124616951E-3</v>
      </c>
      <c r="E44" s="14">
        <f t="shared" si="18"/>
        <v>7.8332482124616951E-3</v>
      </c>
      <c r="H44" s="17"/>
      <c r="I44" s="18"/>
      <c r="J44" s="10">
        <f>'CPB Data'!D44</f>
        <v>-1.4E-2</v>
      </c>
      <c r="K44" s="10">
        <f>overheidsuitgaven_nominaal!U20*-1</f>
        <v>7.1287660726997437E-3</v>
      </c>
      <c r="L44" s="10">
        <f>'CPB Data'!G44/100</f>
        <v>0.67700000000000005</v>
      </c>
      <c r="M44" s="10">
        <f>'CPB Data'!C44</f>
        <v>1.2E-2</v>
      </c>
      <c r="N44" s="10">
        <f>'CPB Data'!B44</f>
        <v>2.35E-2</v>
      </c>
      <c r="O44" s="10">
        <f>Inflatie!E52/100</f>
        <v>0.02</v>
      </c>
      <c r="P44" s="10">
        <f t="shared" si="0"/>
        <v>-2.2076251787538304E-2</v>
      </c>
      <c r="S44" s="10">
        <f>'AMECO Potential GDP'!C52</f>
        <v>3.7900874635568016E-3</v>
      </c>
      <c r="T44" s="11">
        <v>9.4000000000000004E-3</v>
      </c>
      <c r="U44" s="10">
        <f>'AMECO Output Gap'!B50/100</f>
        <v>-3.1E-2</v>
      </c>
      <c r="X44" s="10">
        <f t="shared" ref="X44:X53" si="19">((1+N43)/(1+T43+O43)-1)*AF43</f>
        <v>-1.3695268500367025E-3</v>
      </c>
      <c r="Y44" s="10">
        <f t="shared" si="8"/>
        <v>1.8143829860217254E-3</v>
      </c>
      <c r="Z44" s="10">
        <f t="shared" si="9"/>
        <v>1.1304544761298544E-3</v>
      </c>
      <c r="AA44" s="10">
        <f t="shared" si="1"/>
        <v>-3.1E-2</v>
      </c>
      <c r="AB44" s="10">
        <f t="shared" si="2"/>
        <v>-2.9869545523870146E-2</v>
      </c>
      <c r="AC44" s="10">
        <f t="shared" si="10"/>
        <v>-2.9185617013978274E-2</v>
      </c>
      <c r="AD44" s="10">
        <f t="shared" si="3"/>
        <v>-3.4521615142876647E-2</v>
      </c>
      <c r="AE44" s="10">
        <f t="shared" si="11"/>
        <v>-2.4095117013978276E-2</v>
      </c>
      <c r="AF44" s="10">
        <f t="shared" si="12"/>
        <v>0.53129012048800828</v>
      </c>
      <c r="AG44" s="10">
        <f t="shared" si="4"/>
        <v>2.1521727314322087E-2</v>
      </c>
      <c r="AH44" s="10">
        <f t="shared" si="13"/>
        <v>0.44684911896924062</v>
      </c>
      <c r="AI44" s="10">
        <f t="shared" si="5"/>
        <v>0.54129012048800829</v>
      </c>
      <c r="AK44" s="24">
        <f t="shared" si="14"/>
        <v>5.4585985405986914E-2</v>
      </c>
      <c r="AL44" s="24">
        <f t="shared" si="15"/>
        <v>2.2658610271903301E-2</v>
      </c>
      <c r="AM44" s="24">
        <f t="shared" si="16"/>
        <v>3.1927375134083613E-2</v>
      </c>
      <c r="AN44" s="10">
        <f t="shared" si="17"/>
        <v>-2.4999813261665569E-3</v>
      </c>
      <c r="AO44" s="10">
        <f t="shared" si="6"/>
        <v>-2.0188652264399726E-3</v>
      </c>
    </row>
    <row r="45" spans="1:41" ht="14.4">
      <c r="A45" s="6">
        <f>'CPB Data'!A45:A96</f>
        <v>2014</v>
      </c>
      <c r="B45" s="7">
        <v>0</v>
      </c>
      <c r="C45" s="13">
        <v>0</v>
      </c>
      <c r="D45" s="14">
        <f>'Correcties CBS'!C21</f>
        <v>-9.9366015943757446E-3</v>
      </c>
      <c r="E45" s="14">
        <f t="shared" si="18"/>
        <v>9.9366015943757446E-3</v>
      </c>
      <c r="H45" s="17"/>
      <c r="I45" s="18"/>
      <c r="J45" s="10">
        <f>'CPB Data'!D45</f>
        <v>-7.9000000000000008E-3</v>
      </c>
      <c r="K45" s="10">
        <f>overheidsuitgaven_nominaal!U21*-1</f>
        <v>1.3756038113226898E-2</v>
      </c>
      <c r="L45" s="10">
        <f>'CPB Data'!G45/100</f>
        <v>0.67900000000000005</v>
      </c>
      <c r="M45" s="10">
        <f>'CPB Data'!C45</f>
        <v>1.7000000000000001E-2</v>
      </c>
      <c r="N45" s="10">
        <f>'CPB Data'!B45</f>
        <v>2.1700000000000001E-2</v>
      </c>
      <c r="O45" s="10">
        <f>Inflatie!E53/100</f>
        <v>1.9E-2</v>
      </c>
      <c r="P45" s="10">
        <f t="shared" si="0"/>
        <v>-1.2697698405624258E-2</v>
      </c>
      <c r="S45" s="10">
        <f>'AMECO Potential GDP'!C53</f>
        <v>5.3732210281729476E-3</v>
      </c>
      <c r="T45" s="11">
        <v>0</v>
      </c>
      <c r="U45" s="10">
        <f>'AMECO Output Gap'!B51/100</f>
        <v>-2.2000000000000002E-2</v>
      </c>
      <c r="X45" s="10">
        <f t="shared" si="19"/>
        <v>-3.0450861772675997E-3</v>
      </c>
      <c r="Y45" s="10">
        <f t="shared" si="8"/>
        <v>-1.9182566351514998E-4</v>
      </c>
      <c r="Z45" s="10">
        <f t="shared" si="9"/>
        <v>1.1304544761298544E-3</v>
      </c>
      <c r="AA45" s="10">
        <f t="shared" si="1"/>
        <v>-2.2000000000000002E-2</v>
      </c>
      <c r="AB45" s="10">
        <f t="shared" si="2"/>
        <v>-2.0869545523870148E-2</v>
      </c>
      <c r="AC45" s="10">
        <f t="shared" si="10"/>
        <v>-2.2191825663515151E-2</v>
      </c>
      <c r="AD45" s="10">
        <f t="shared" si="3"/>
        <v>-2.2748499192716043E-2</v>
      </c>
      <c r="AE45" s="10">
        <f t="shared" si="11"/>
        <v>-1.4926125663515153E-2</v>
      </c>
      <c r="AF45" s="10">
        <f t="shared" si="12"/>
        <v>0.54449563424984526</v>
      </c>
      <c r="AG45" s="10">
        <f t="shared" si="4"/>
        <v>2.4781727314322089E-2</v>
      </c>
      <c r="AH45" s="10">
        <f t="shared" si="13"/>
        <v>0.45617391130255974</v>
      </c>
      <c r="AI45" s="10">
        <f t="shared" si="5"/>
        <v>0.54449563424984526</v>
      </c>
      <c r="AK45" s="24">
        <f t="shared" si="14"/>
        <v>2.4855560554574607E-2</v>
      </c>
      <c r="AL45" s="24">
        <f t="shared" si="15"/>
        <v>2.9542097488921559E-3</v>
      </c>
      <c r="AM45" s="24">
        <f t="shared" si="16"/>
        <v>2.1901350805682451E-2</v>
      </c>
      <c r="AN45" s="10">
        <f t="shared" si="17"/>
        <v>-1.6755593272308972E-3</v>
      </c>
      <c r="AO45" s="10">
        <f t="shared" si="6"/>
        <v>-2.2284272578908942E-3</v>
      </c>
    </row>
    <row r="46" spans="1:41" ht="14.4">
      <c r="A46" s="6">
        <f>'CPB Data'!A46:A97</f>
        <v>2015</v>
      </c>
      <c r="B46" s="7">
        <v>0</v>
      </c>
      <c r="C46" s="13">
        <v>0</v>
      </c>
      <c r="D46" s="14">
        <f>'Correcties CBS'!C22</f>
        <v>-3.5338380292438722E-2</v>
      </c>
      <c r="E46" s="14">
        <f t="shared" si="18"/>
        <v>3.5338380292438722E-2</v>
      </c>
      <c r="H46" s="17"/>
      <c r="I46" s="18"/>
      <c r="J46" s="10">
        <f>'CPB Data'!D46</f>
        <v>-6.4000000000000003E-3</v>
      </c>
      <c r="K46" s="10">
        <f>overheidsuitgaven_nominaal!U22*-1</f>
        <v>2.5920520587933593E-2</v>
      </c>
      <c r="L46" s="10">
        <f>'CPB Data'!G46/100</f>
        <v>0.64599999999999991</v>
      </c>
      <c r="M46" s="10">
        <f>'CPB Data'!C46</f>
        <v>2.8199999999999999E-2</v>
      </c>
      <c r="N46" s="10">
        <f>'CPB Data'!B46</f>
        <v>1.9199999999999998E-2</v>
      </c>
      <c r="O46" s="10">
        <f>Inflatie!E54/100</f>
        <v>1.8000000000000002E-2</v>
      </c>
      <c r="P46" s="10">
        <f t="shared" si="0"/>
        <v>1.6535180292438723E-2</v>
      </c>
      <c r="S46" s="10">
        <f>'AMECO Potential GDP'!C54</f>
        <v>1.3577928643651704E-2</v>
      </c>
      <c r="T46" s="11">
        <v>4.2911877394600003E-3</v>
      </c>
      <c r="U46" s="10">
        <f>'AMECO Output Gap'!B52/100</f>
        <v>-1.7000000000000001E-2</v>
      </c>
      <c r="X46" s="10">
        <f t="shared" si="19"/>
        <v>1.4427264106719481E-3</v>
      </c>
      <c r="Y46" s="10">
        <f t="shared" si="8"/>
        <v>-1.7719294499982244E-3</v>
      </c>
      <c r="Z46" s="10">
        <f t="shared" si="9"/>
        <v>1.1304544761298544E-3</v>
      </c>
      <c r="AA46" s="10">
        <f t="shared" si="1"/>
        <v>-1.7000000000000001E-2</v>
      </c>
      <c r="AB46" s="10">
        <f t="shared" si="2"/>
        <v>-1.5869545523870147E-2</v>
      </c>
      <c r="AC46" s="10">
        <f t="shared" si="10"/>
        <v>-1.8771929449998226E-2</v>
      </c>
      <c r="AD46" s="10">
        <f t="shared" si="3"/>
        <v>9.4695764329817481E-3</v>
      </c>
      <c r="AE46" s="10">
        <f t="shared" si="11"/>
        <v>-1.4175129449998223E-2</v>
      </c>
      <c r="AF46" s="10">
        <f t="shared" si="12"/>
        <v>0.52079470497848057</v>
      </c>
      <c r="AG46" s="10">
        <f t="shared" si="4"/>
        <v>3.388172731432209E-2</v>
      </c>
      <c r="AH46" s="10">
        <f t="shared" si="13"/>
        <v>0.43086515977815498</v>
      </c>
      <c r="AI46" s="10">
        <f t="shared" si="5"/>
        <v>0.52079470497848057</v>
      </c>
      <c r="AK46" s="24">
        <f t="shared" si="14"/>
        <v>-4.3528226454960683E-2</v>
      </c>
      <c r="AL46" s="24">
        <f t="shared" si="15"/>
        <v>-4.8600883652430205E-2</v>
      </c>
      <c r="AM46" s="24">
        <f t="shared" si="16"/>
        <v>5.0726571974695212E-3</v>
      </c>
      <c r="AN46" s="10">
        <f t="shared" si="17"/>
        <v>4.4878125879395476E-3</v>
      </c>
      <c r="AO46" s="10">
        <f t="shared" si="6"/>
        <v>-3.0710309742436943E-2</v>
      </c>
    </row>
    <row r="47" spans="1:41" ht="14.4">
      <c r="A47" s="6">
        <f>'CPB Data'!A47:A98</f>
        <v>2016</v>
      </c>
      <c r="B47" s="7">
        <v>0</v>
      </c>
      <c r="C47" s="13">
        <v>-0.04</v>
      </c>
      <c r="D47" s="14">
        <f>'Correcties CBS'!C23</f>
        <v>-9.975629328023301E-3</v>
      </c>
      <c r="E47" s="14">
        <f t="shared" si="18"/>
        <v>9.975629328023301E-3</v>
      </c>
      <c r="H47" s="17"/>
      <c r="I47" s="18"/>
      <c r="J47" s="10">
        <f>'CPB Data'!D47</f>
        <v>1.2800000000000001E-2</v>
      </c>
      <c r="K47" s="10">
        <f>overheidsuitgaven_nominaal!U23*-1</f>
        <v>3.8474263493297078E-2</v>
      </c>
      <c r="L47" s="10">
        <f>'CPB Data'!G47/100</f>
        <v>0.61899999999999999</v>
      </c>
      <c r="M47" s="10">
        <f>'CPB Data'!C47</f>
        <v>2.7099999999999999E-2</v>
      </c>
      <c r="N47" s="10">
        <f>'CPB Data'!B47</f>
        <v>1.78E-2</v>
      </c>
      <c r="O47" s="10">
        <f>Inflatie!E55/100</f>
        <v>1.8000000000000002E-2</v>
      </c>
      <c r="P47" s="10">
        <f t="shared" si="0"/>
        <v>1.1757429328023301E-2</v>
      </c>
      <c r="S47" s="10">
        <f>'AMECO Potential GDP'!C55</f>
        <v>1.2968505059141933E-2</v>
      </c>
      <c r="T47" s="11">
        <v>1.0500000000000001E-2</v>
      </c>
      <c r="U47" s="10">
        <f>'AMECO Output Gap'!B53/100</f>
        <v>-8.0000000000000002E-3</v>
      </c>
      <c r="X47" s="10">
        <f t="shared" si="19"/>
        <v>-1.5747706975396804E-3</v>
      </c>
      <c r="Y47" s="10">
        <f t="shared" si="8"/>
        <v>-7.7513697043833547E-3</v>
      </c>
      <c r="Z47" s="10">
        <f t="shared" si="9"/>
        <v>1.1304544761298544E-3</v>
      </c>
      <c r="AA47" s="10">
        <f t="shared" si="1"/>
        <v>-8.0000000000000002E-3</v>
      </c>
      <c r="AB47" s="10">
        <f t="shared" si="2"/>
        <v>-6.8695455238701455E-3</v>
      </c>
      <c r="AC47" s="10">
        <f t="shared" si="10"/>
        <v>-1.5751369704383355E-2</v>
      </c>
      <c r="AD47" s="10">
        <f t="shared" si="3"/>
        <v>-6.0262947872482767E-3</v>
      </c>
      <c r="AE47" s="10">
        <f t="shared" si="11"/>
        <v>2.1230430295616644E-2</v>
      </c>
      <c r="AF47" s="10">
        <f t="shared" si="12"/>
        <v>0.51305497704502423</v>
      </c>
      <c r="AG47" s="10">
        <f t="shared" si="4"/>
        <v>3.8901727314322086E-2</v>
      </c>
      <c r="AH47" s="10">
        <f t="shared" si="13"/>
        <v>0.41912383469000919</v>
      </c>
      <c r="AI47" s="10">
        <f t="shared" si="5"/>
        <v>0.47305497704502425</v>
      </c>
      <c r="AK47" s="24">
        <f t="shared" si="14"/>
        <v>-1.4861379847892597E-2</v>
      </c>
      <c r="AL47" s="24">
        <f t="shared" si="15"/>
        <v>-4.1795665634674739E-2</v>
      </c>
      <c r="AM47" s="24">
        <f t="shared" si="16"/>
        <v>2.6934285786782142E-2</v>
      </c>
      <c r="AN47" s="10">
        <f t="shared" si="17"/>
        <v>-3.0174971082116285E-3</v>
      </c>
      <c r="AO47" s="10">
        <f t="shared" si="6"/>
        <v>9.4730009675933428E-3</v>
      </c>
    </row>
    <row r="48" spans="1:41" ht="14.4">
      <c r="A48" s="6">
        <f>'CPB Data'!A48:A99</f>
        <v>2017</v>
      </c>
      <c r="B48" s="7">
        <v>1</v>
      </c>
      <c r="C48" s="13">
        <v>0</v>
      </c>
      <c r="D48" s="14">
        <f>'Correcties CBS'!C24</f>
        <v>-1.1363441963903858E-2</v>
      </c>
      <c r="E48" s="14">
        <f t="shared" si="18"/>
        <v>1.1363441963903858E-2</v>
      </c>
      <c r="H48" s="17">
        <v>6.0000000000000001E-3</v>
      </c>
      <c r="I48" s="18">
        <v>0</v>
      </c>
      <c r="J48" s="10">
        <f>'CPB Data'!D48</f>
        <v>2.3699999999999999E-2</v>
      </c>
      <c r="K48" s="10">
        <f>overheidsuitgaven_nominaal!U24*-1</f>
        <v>2.3331578153400034E-2</v>
      </c>
      <c r="L48" s="10">
        <f>'CPB Data'!G48/100</f>
        <v>0.56999999999999995</v>
      </c>
      <c r="M48" s="10">
        <f>'CPB Data'!C48</f>
        <v>4.24E-2</v>
      </c>
      <c r="N48" s="10">
        <f>'CPB Data'!B48</f>
        <v>1.6199999999999999E-2</v>
      </c>
      <c r="O48" s="10">
        <f>Inflatie!E56/100</f>
        <v>1.8000000000000002E-2</v>
      </c>
      <c r="P48" s="10">
        <f t="shared" si="0"/>
        <v>2.5829441963903858E-2</v>
      </c>
      <c r="S48" s="10">
        <f>'AMECO Potential GDP'!C56</f>
        <v>1.5194147439504979E-2</v>
      </c>
      <c r="T48" s="11">
        <v>1.4E-2</v>
      </c>
      <c r="U48" s="10">
        <f>'AMECO Output Gap'!B54/100</f>
        <v>6.0000000000000001E-3</v>
      </c>
      <c r="X48" s="10">
        <f t="shared" si="19"/>
        <v>-5.3375675783973887E-3</v>
      </c>
      <c r="Y48" s="10">
        <f t="shared" si="8"/>
        <v>-7.9064535837991209E-3</v>
      </c>
      <c r="Z48" s="10">
        <f t="shared" si="9"/>
        <v>-5.3375675783973887E-3</v>
      </c>
      <c r="AA48" s="10">
        <f t="shared" si="1"/>
        <v>6.0000000000000001E-3</v>
      </c>
      <c r="AB48" s="10">
        <f t="shared" si="2"/>
        <v>6.6243242160261145E-4</v>
      </c>
      <c r="AC48" s="10">
        <f t="shared" si="10"/>
        <v>-1.9064535837991208E-3</v>
      </c>
      <c r="AD48" s="10">
        <f t="shared" si="3"/>
        <v>4.1101821260476398E-3</v>
      </c>
      <c r="AE48" s="10">
        <f t="shared" si="11"/>
        <v>-1.714045358379912E-2</v>
      </c>
      <c r="AF48" s="10">
        <f t="shared" si="12"/>
        <v>0.48862297897894008</v>
      </c>
      <c r="AG48" s="10">
        <f t="shared" si="4"/>
        <v>5.622254054703843E-2</v>
      </c>
      <c r="AH48" s="10">
        <f t="shared" si="13"/>
        <v>0.39185659322524985</v>
      </c>
      <c r="AI48" s="10">
        <f t="shared" si="5"/>
        <v>0.48862297897894008</v>
      </c>
      <c r="AK48" s="24">
        <f t="shared" si="14"/>
        <v>-4.7620623830221698E-2</v>
      </c>
      <c r="AL48" s="24">
        <f t="shared" si="15"/>
        <v>-7.9159935379644608E-2</v>
      </c>
      <c r="AM48" s="24">
        <f t="shared" si="16"/>
        <v>3.153931154942291E-2</v>
      </c>
      <c r="AN48" s="10">
        <f t="shared" si="17"/>
        <v>-3.7627968808577085E-3</v>
      </c>
      <c r="AO48" s="10">
        <f t="shared" si="6"/>
        <v>-4.2969895547702974E-2</v>
      </c>
    </row>
    <row r="49" spans="1:41" ht="14.4">
      <c r="A49" s="6">
        <f>'CPB Data'!A49:A100</f>
        <v>2018</v>
      </c>
      <c r="B49" s="7">
        <v>0</v>
      </c>
      <c r="C49" s="13">
        <v>-0.01</v>
      </c>
      <c r="D49" s="14">
        <f>'Correcties CBS'!C25</f>
        <v>-3.960409500632197E-3</v>
      </c>
      <c r="E49" s="14">
        <f t="shared" si="18"/>
        <v>3.960409500632197E-3</v>
      </c>
      <c r="H49" s="19"/>
      <c r="I49" s="19"/>
      <c r="J49" s="10">
        <f>'CPB Data'!D49</f>
        <v>2.4E-2</v>
      </c>
      <c r="K49" s="10">
        <f>overheidsuitgaven_nominaal!U25*-1</f>
        <v>-2.7377341102289288E-3</v>
      </c>
      <c r="L49" s="10">
        <f>'CPB Data'!G49/100</f>
        <v>0.52400000000000002</v>
      </c>
      <c r="M49" s="10">
        <f>'CPB Data'!C49</f>
        <v>4.8599999999999997E-2</v>
      </c>
      <c r="N49" s="10">
        <f>'CPB Data'!B49</f>
        <v>1.5699999999999999E-2</v>
      </c>
      <c r="O49" s="10">
        <f>Inflatie!E57/100</f>
        <v>1.9E-2</v>
      </c>
      <c r="P49" s="10">
        <f t="shared" si="0"/>
        <v>1.9733609500632198E-2</v>
      </c>
      <c r="S49" s="10">
        <f>'AMECO Potential GDP'!C57</f>
        <v>1.6352549889135259E-2</v>
      </c>
      <c r="T49" s="11">
        <v>1.9E-2</v>
      </c>
      <c r="U49" s="10">
        <f>'AMECO Output Gap'!B55/100</f>
        <v>1.3000000000000001E-2</v>
      </c>
      <c r="X49" s="10">
        <f t="shared" si="19"/>
        <v>-7.4808556859178839E-3</v>
      </c>
      <c r="Y49" s="10">
        <f t="shared" si="8"/>
        <v>-9.3754538433300592E-3</v>
      </c>
      <c r="Z49" s="10">
        <f t="shared" si="9"/>
        <v>-5.3375675783973887E-3</v>
      </c>
      <c r="AA49" s="10">
        <f t="shared" si="1"/>
        <v>1.3000000000000001E-2</v>
      </c>
      <c r="AB49" s="10">
        <f t="shared" si="2"/>
        <v>7.6624324216026125E-3</v>
      </c>
      <c r="AC49" s="10">
        <f t="shared" si="10"/>
        <v>3.624546156669942E-3</v>
      </c>
      <c r="AD49" s="10">
        <f t="shared" si="3"/>
        <v>4.3661731926155165E-3</v>
      </c>
      <c r="AE49" s="10">
        <f t="shared" si="11"/>
        <v>-7.6022538433300566E-3</v>
      </c>
      <c r="AF49" s="10">
        <f t="shared" si="12"/>
        <v>0.46220819933880852</v>
      </c>
      <c r="AG49" s="10">
        <f t="shared" si="4"/>
        <v>5.8402540547038431E-2</v>
      </c>
      <c r="AH49" s="10">
        <f t="shared" si="13"/>
        <v>0.36506516662077054</v>
      </c>
      <c r="AI49" s="10">
        <f t="shared" si="5"/>
        <v>0.45220819933880851</v>
      </c>
      <c r="AK49" s="24">
        <f t="shared" si="14"/>
        <v>-5.4059634475909557E-2</v>
      </c>
      <c r="AL49" s="24">
        <f t="shared" si="15"/>
        <v>-8.070175438596483E-2</v>
      </c>
      <c r="AM49" s="24">
        <f t="shared" si="16"/>
        <v>2.6642119910055273E-2</v>
      </c>
      <c r="AN49" s="10">
        <f t="shared" si="17"/>
        <v>-2.1432881075204952E-3</v>
      </c>
      <c r="AO49" s="10">
        <f t="shared" si="6"/>
        <v>-2.7335863343962256E-2</v>
      </c>
    </row>
    <row r="50" spans="1:41" ht="14.4">
      <c r="A50" s="6">
        <f>'CPB Data'!A50:A101</f>
        <v>2019</v>
      </c>
      <c r="B50" s="7">
        <v>0</v>
      </c>
      <c r="C50" s="13">
        <v>0</v>
      </c>
      <c r="D50" s="14">
        <f>'Correcties CBS'!C26</f>
        <v>4.5991588482691683E-3</v>
      </c>
      <c r="E50" s="14">
        <f t="shared" si="18"/>
        <v>-4.5991588482691683E-3</v>
      </c>
      <c r="H50" s="19"/>
      <c r="I50" s="19"/>
      <c r="J50" s="10">
        <f>'CPB Data'!D50</f>
        <v>2.5700000000000001E-2</v>
      </c>
      <c r="K50" s="10">
        <f>overheidsuitgaven_nominaal!U26*-1</f>
        <v>2.3593058778642595E-3</v>
      </c>
      <c r="L50" s="10">
        <f>'CPB Data'!G50/100</f>
        <v>0.48499999999999999</v>
      </c>
      <c r="M50" s="10">
        <f>'CPB Data'!C50</f>
        <v>5.0599999999999999E-2</v>
      </c>
      <c r="N50" s="10">
        <f>'CPB Data'!B50</f>
        <v>1.46E-2</v>
      </c>
      <c r="O50" s="10">
        <f>Inflatie!E58/100</f>
        <v>1.8000000000000002E-2</v>
      </c>
      <c r="P50" s="10">
        <f t="shared" si="0"/>
        <v>1.4019841151730831E-2</v>
      </c>
      <c r="S50" s="10">
        <f>'AMECO Potential GDP'!C58</f>
        <v>1.827106626670294E-2</v>
      </c>
      <c r="T50" s="11">
        <v>1.8599999999999998E-2</v>
      </c>
      <c r="U50" s="10">
        <f>'AMECO Output Gap'!B56/100</f>
        <v>1.3999999999999999E-2</v>
      </c>
      <c r="X50" s="10">
        <f t="shared" si="19"/>
        <v>-9.929906401980073E-3</v>
      </c>
      <c r="Y50" s="10">
        <f t="shared" si="8"/>
        <v>-9.9463087650766991E-3</v>
      </c>
      <c r="Z50" s="10">
        <f t="shared" si="9"/>
        <v>-5.3375675783973887E-3</v>
      </c>
      <c r="AA50" s="10">
        <f t="shared" si="1"/>
        <v>1.3999999999999999E-2</v>
      </c>
      <c r="AB50" s="10">
        <f t="shared" si="2"/>
        <v>8.6624324216026099E-3</v>
      </c>
      <c r="AC50" s="10">
        <f t="shared" si="10"/>
        <v>4.0536912349232995E-3</v>
      </c>
      <c r="AD50" s="10">
        <f t="shared" si="3"/>
        <v>-2.3972634683065716E-3</v>
      </c>
      <c r="AE50" s="10">
        <f t="shared" si="11"/>
        <v>-1.7027308765076698E-2</v>
      </c>
      <c r="AF50" s="10">
        <f t="shared" si="12"/>
        <v>0.44250253709863102</v>
      </c>
      <c r="AG50" s="10">
        <f t="shared" si="4"/>
        <v>6.082254054703843E-2</v>
      </c>
      <c r="AH50" s="10">
        <f t="shared" si="13"/>
        <v>0.34532811142115499</v>
      </c>
      <c r="AI50" s="10">
        <f t="shared" si="5"/>
        <v>0.44250253709863102</v>
      </c>
      <c r="AK50" s="24">
        <f t="shared" si="14"/>
        <v>-4.2633735767488634E-2</v>
      </c>
      <c r="AL50" s="24">
        <f t="shared" si="15"/>
        <v>-7.4427480916030575E-2</v>
      </c>
      <c r="AM50" s="24">
        <f t="shared" si="16"/>
        <v>3.1793745148541941E-2</v>
      </c>
      <c r="AN50" s="10">
        <f t="shared" si="17"/>
        <v>-2.4490507160621891E-3</v>
      </c>
      <c r="AO50" s="10">
        <f t="shared" si="6"/>
        <v>-3.1047149916807529E-2</v>
      </c>
    </row>
    <row r="51" spans="1:41" ht="14.4">
      <c r="A51" s="6">
        <f>'CPB Data'!A51:A102</f>
        <v>2020</v>
      </c>
      <c r="B51" s="7">
        <v>0</v>
      </c>
      <c r="C51" s="13">
        <v>-0.03</v>
      </c>
      <c r="D51" s="14">
        <f>'Correcties CBS'!C27</f>
        <v>1.4617694658598305E-2</v>
      </c>
      <c r="E51" s="14">
        <f t="shared" si="18"/>
        <v>-1.4617694658598305E-2</v>
      </c>
      <c r="H51" s="19"/>
      <c r="I51" s="19"/>
      <c r="J51" s="10">
        <f>'CPB Data'!D51</f>
        <v>-3.0300000000000001E-2</v>
      </c>
      <c r="K51" s="10">
        <f>overheidsuitgaven_nominaal!U27*-1</f>
        <v>-0.10402287665249776</v>
      </c>
      <c r="L51" s="10">
        <f>'CPB Data'!G51/100</f>
        <v>0.54700000000000004</v>
      </c>
      <c r="M51" s="10">
        <f>'CPB Data'!C51</f>
        <v>-2.07E-2</v>
      </c>
      <c r="N51" s="10">
        <f>'CPB Data'!B51</f>
        <v>1.4E-2</v>
      </c>
      <c r="O51" s="10">
        <f>Inflatie!E59/100</f>
        <v>1.7000000000000001E-2</v>
      </c>
      <c r="P51" s="10">
        <f t="shared" si="0"/>
        <v>-5.2575694658598307E-2</v>
      </c>
      <c r="S51" s="10">
        <f>'AMECO Potential GDP'!C59</f>
        <v>1.5532940546331142E-2</v>
      </c>
      <c r="T51" s="11">
        <v>1.6E-2</v>
      </c>
      <c r="U51" s="10">
        <f>'AMECO Output Gap'!B57/100</f>
        <v>-0.04</v>
      </c>
      <c r="X51" s="10">
        <f t="shared" si="19"/>
        <v>-9.3913330273682344E-3</v>
      </c>
      <c r="Y51" s="10">
        <f t="shared" si="8"/>
        <v>-1.0142584774866159E-2</v>
      </c>
      <c r="Z51" s="10">
        <f t="shared" si="9"/>
        <v>-5.3375675783973887E-3</v>
      </c>
      <c r="AA51" s="10">
        <f t="shared" si="1"/>
        <v>-0.04</v>
      </c>
      <c r="AB51" s="10">
        <f t="shared" si="2"/>
        <v>-4.5337567578397388E-2</v>
      </c>
      <c r="AC51" s="10">
        <f t="shared" si="10"/>
        <v>-5.0142584774866161E-2</v>
      </c>
      <c r="AD51" s="10">
        <f t="shared" si="3"/>
        <v>-6.722692535143468E-2</v>
      </c>
      <c r="AE51" s="10">
        <f t="shared" si="11"/>
        <v>1.219941522513384E-2</v>
      </c>
      <c r="AF51" s="10">
        <f t="shared" si="12"/>
        <v>0.5194045081742138</v>
      </c>
      <c r="AG51" s="10">
        <f t="shared" si="4"/>
        <v>-1.1677459452961567E-2</v>
      </c>
      <c r="AH51" s="10">
        <f t="shared" si="13"/>
        <v>0.4149636888692691</v>
      </c>
      <c r="AI51" s="10">
        <f t="shared" si="5"/>
        <v>0.48940450817421377</v>
      </c>
      <c r="AK51" s="24">
        <f t="shared" si="14"/>
        <v>0.17378876871488269</v>
      </c>
      <c r="AL51" s="24">
        <f t="shared" si="15"/>
        <v>0.12783505154639196</v>
      </c>
      <c r="AM51" s="24">
        <f t="shared" si="16"/>
        <v>4.5953717168490726E-2</v>
      </c>
      <c r="AN51" s="10">
        <f t="shared" si="17"/>
        <v>5.385733746118386E-4</v>
      </c>
      <c r="AO51" s="10">
        <f t="shared" si="6"/>
        <v>6.477510988373214E-2</v>
      </c>
    </row>
    <row r="52" spans="1:41" ht="14.4">
      <c r="A52" s="6">
        <f>'CPB Data'!A52:A103</f>
        <v>2021</v>
      </c>
      <c r="B52" s="7">
        <v>1</v>
      </c>
      <c r="C52" s="13">
        <v>0</v>
      </c>
      <c r="D52" s="14">
        <f>'Correcties CBS'!C28</f>
        <v>-7.6383069895939329E-3</v>
      </c>
      <c r="E52" s="14">
        <f t="shared" si="18"/>
        <v>7.6383069895939329E-3</v>
      </c>
      <c r="H52" s="17">
        <v>1.7000000000000001E-2</v>
      </c>
      <c r="I52" s="18">
        <v>0</v>
      </c>
      <c r="J52" s="10">
        <f>'CPB Data'!D52</f>
        <v>-2.0400000000000001E-2</v>
      </c>
      <c r="K52" s="10">
        <f>overheidsuitgaven_nominaal!U28*-1</f>
        <v>1.82517717906856E-2</v>
      </c>
      <c r="L52" s="10">
        <f>'CPB Data'!G52/100</f>
        <v>0.52400000000000002</v>
      </c>
      <c r="M52" s="10">
        <f>'CPB Data'!C52</f>
        <v>7.5200000000000003E-2</v>
      </c>
      <c r="N52" s="10">
        <f>'CPB Data'!B52</f>
        <v>1.04E-2</v>
      </c>
      <c r="O52" s="10">
        <f>Inflatie!E60/100</f>
        <v>1.7000000000000001E-2</v>
      </c>
      <c r="P52" s="10">
        <f t="shared" si="0"/>
        <v>-1.8211293010406068E-2</v>
      </c>
      <c r="S52" s="10">
        <f>'AMECO Potential GDP'!C60</f>
        <v>1.7009493670886E-2</v>
      </c>
      <c r="T52" s="11">
        <v>6.0000000000000001E-3</v>
      </c>
      <c r="U52" s="10">
        <f>'AMECO Output Gap'!B58/100</f>
        <v>-0.01</v>
      </c>
      <c r="X52" s="10">
        <f t="shared" si="19"/>
        <v>-9.5534227060116023E-3</v>
      </c>
      <c r="Y52" s="10">
        <f t="shared" si="8"/>
        <v>-9.8181066005305073E-3</v>
      </c>
      <c r="Z52" s="10">
        <f t="shared" si="9"/>
        <v>-9.5534227060116023E-3</v>
      </c>
      <c r="AA52" s="10">
        <f t="shared" si="1"/>
        <v>-0.01</v>
      </c>
      <c r="AB52" s="10">
        <f t="shared" si="2"/>
        <v>-1.9553422706011604E-2</v>
      </c>
      <c r="AC52" s="10">
        <f t="shared" si="10"/>
        <v>-1.9818106600530509E-2</v>
      </c>
      <c r="AD52" s="10">
        <f t="shared" si="3"/>
        <v>-1.7106617651003509E-2</v>
      </c>
      <c r="AE52" s="10">
        <f t="shared" si="11"/>
        <v>-1.5267706600530506E-2</v>
      </c>
      <c r="AF52" s="10">
        <f t="shared" si="12"/>
        <v>0.49918287832556119</v>
      </c>
      <c r="AG52" s="10">
        <f t="shared" si="4"/>
        <v>7.4692053623606966E-2</v>
      </c>
      <c r="AH52" s="10">
        <f t="shared" si="13"/>
        <v>0.40122603074624191</v>
      </c>
      <c r="AI52" s="10">
        <f t="shared" si="5"/>
        <v>0.49918287832556119</v>
      </c>
      <c r="AK52" s="24">
        <f t="shared" si="14"/>
        <v>-3.8932334106484223E-2</v>
      </c>
      <c r="AL52" s="24">
        <f t="shared" si="15"/>
        <v>-4.2047531992687404E-2</v>
      </c>
      <c r="AM52" s="24">
        <f t="shared" si="16"/>
        <v>3.1151978862031804E-3</v>
      </c>
      <c r="AN52" s="10">
        <f t="shared" si="17"/>
        <v>-1.6208967864336787E-4</v>
      </c>
      <c r="AO52" s="10">
        <f t="shared" si="6"/>
        <v>2.9435864098755621E-3</v>
      </c>
    </row>
    <row r="53" spans="1:41" ht="14.4">
      <c r="A53" s="6">
        <f>'CPB Data'!A53:A104</f>
        <v>2022</v>
      </c>
      <c r="B53" s="7">
        <v>0</v>
      </c>
      <c r="E53" s="20">
        <f t="shared" si="18"/>
        <v>0</v>
      </c>
      <c r="H53" s="9"/>
      <c r="I53" s="9"/>
      <c r="J53" s="10">
        <f>'CPB Data'!D53</f>
        <v>-6.0000000000000001E-3</v>
      </c>
      <c r="K53" s="6">
        <f>overheidsuitgaven_nominaal!U29</f>
        <v>0</v>
      </c>
      <c r="L53" s="10">
        <f>'CPB Data'!G53/100</f>
        <v>0.496</v>
      </c>
      <c r="M53" s="10">
        <f>'CPB Data'!C53</f>
        <v>8.9899999999999994E-2</v>
      </c>
      <c r="N53" s="10">
        <f>'CPB Data'!B53</f>
        <v>9.1999999999999998E-3</v>
      </c>
      <c r="O53" s="10">
        <f>Inflatie!E61/100</f>
        <v>0.02</v>
      </c>
      <c r="P53" s="10">
        <f t="shared" si="0"/>
        <v>-1.05632E-2</v>
      </c>
      <c r="S53" s="10">
        <f>'AMECO Potential GDP'!C61</f>
        <v>2.1651756774277331E-2</v>
      </c>
      <c r="T53" s="11">
        <v>1.43E-2</v>
      </c>
      <c r="U53" s="10">
        <f>'AMECO Output Gap'!B59/100</f>
        <v>1.2E-2</v>
      </c>
      <c r="X53" s="10">
        <f t="shared" si="19"/>
        <v>-6.1482935160332552E-3</v>
      </c>
      <c r="Y53" s="10">
        <f t="shared" si="8"/>
        <v>-1.1964469145852828E-2</v>
      </c>
      <c r="Z53" s="10">
        <f t="shared" si="9"/>
        <v>-9.5534227060116023E-3</v>
      </c>
      <c r="AA53" s="10">
        <f t="shared" si="1"/>
        <v>1.2E-2</v>
      </c>
      <c r="AB53" s="10">
        <f t="shared" si="2"/>
        <v>2.446577293988398E-3</v>
      </c>
      <c r="AC53" s="10">
        <f t="shared" si="10"/>
        <v>3.5530854147172025E-5</v>
      </c>
      <c r="AD53" s="10">
        <f t="shared" si="3"/>
        <v>-1.7852098500724736E-3</v>
      </c>
      <c r="AE53" s="10">
        <f t="shared" si="11"/>
        <v>-1.6527669145852828E-2</v>
      </c>
      <c r="AF53" s="10">
        <f t="shared" si="12"/>
        <v>0.45997686348487737</v>
      </c>
      <c r="AG53" s="10">
        <f t="shared" si="4"/>
        <v>8.4832053623606962E-2</v>
      </c>
      <c r="AH53" s="10">
        <f t="shared" si="13"/>
        <v>0.37099819422809949</v>
      </c>
      <c r="AI53" s="10">
        <f t="shared" si="5"/>
        <v>0.45997686348487737</v>
      </c>
      <c r="AK53" s="24">
        <f t="shared" si="14"/>
        <v>-7.8540383781180334E-2</v>
      </c>
      <c r="AL53" s="24">
        <f t="shared" si="15"/>
        <v>-5.3435114503816883E-2</v>
      </c>
      <c r="AM53" s="24">
        <f t="shared" si="16"/>
        <v>-2.5105269277363451E-2</v>
      </c>
      <c r="AN53" s="10">
        <f t="shared" si="17"/>
        <v>3.4051291899783471E-3</v>
      </c>
      <c r="AO53" s="10">
        <f t="shared" si="6"/>
        <v>-5.9644691458528281E-3</v>
      </c>
    </row>
    <row r="54" spans="1:41" ht="13.2">
      <c r="H54" s="9"/>
      <c r="I54" s="9"/>
      <c r="L54" s="6">
        <f>'CPB Data'!G54</f>
        <v>0</v>
      </c>
      <c r="O54" s="10"/>
      <c r="P54" s="10"/>
      <c r="X54" s="10"/>
      <c r="AD54" s="10"/>
      <c r="AE54" s="10"/>
      <c r="AF54" s="10"/>
    </row>
    <row r="55" spans="1:41" ht="13.2">
      <c r="H55" s="9"/>
      <c r="I55" s="9"/>
      <c r="L55" s="6">
        <f>'CPB Data'!G55</f>
        <v>0</v>
      </c>
      <c r="O55" s="10"/>
      <c r="P55" s="10"/>
    </row>
    <row r="56" spans="1:41" ht="13.2">
      <c r="H56" s="9"/>
      <c r="I56" s="9"/>
      <c r="L56" s="6">
        <f>'CPB Data'!G56</f>
        <v>0</v>
      </c>
      <c r="P56" s="10"/>
    </row>
    <row r="57" spans="1:41" ht="13.2">
      <c r="H57" s="9"/>
      <c r="I57" s="9"/>
      <c r="L57" s="6">
        <f>'CPB Data'!G57</f>
        <v>0</v>
      </c>
    </row>
    <row r="58" spans="1:41" ht="13.2">
      <c r="H58" s="9"/>
      <c r="I58" s="9"/>
      <c r="J58" s="21"/>
      <c r="L58" s="6">
        <f>'CPB Data'!G58</f>
        <v>0</v>
      </c>
    </row>
    <row r="59" spans="1:41" ht="13.2">
      <c r="H59" s="9"/>
      <c r="I59" s="9"/>
      <c r="L59" s="6">
        <f>'CPB Data'!G59</f>
        <v>0</v>
      </c>
    </row>
    <row r="60" spans="1:41" ht="13.2">
      <c r="H60" s="9"/>
      <c r="I60" s="9"/>
      <c r="L60" s="6">
        <f>'CPB Data'!G60</f>
        <v>0</v>
      </c>
    </row>
    <row r="61" spans="1:41" ht="13.2">
      <c r="H61" s="9"/>
      <c r="I61" s="9"/>
      <c r="L61" s="6">
        <f>'CPB Data'!G61</f>
        <v>0</v>
      </c>
    </row>
    <row r="62" spans="1:41" ht="13.2">
      <c r="H62" s="9"/>
      <c r="I62" s="9"/>
      <c r="L62" s="6">
        <f>'CPB Data'!G62</f>
        <v>0</v>
      </c>
    </row>
    <row r="63" spans="1:41" ht="13.2">
      <c r="H63" s="9"/>
      <c r="I63" s="9"/>
      <c r="L63" s="6">
        <f>'CPB Data'!G63</f>
        <v>0</v>
      </c>
    </row>
    <row r="64" spans="1:41" ht="13.2">
      <c r="H64" s="9"/>
      <c r="I64" s="9"/>
      <c r="L64" s="6">
        <f>'CPB Data'!G64</f>
        <v>0</v>
      </c>
    </row>
    <row r="65" spans="8:12" ht="13.2">
      <c r="H65" s="9"/>
      <c r="I65" s="9"/>
      <c r="L65" s="6">
        <f>'CPB Data'!G65</f>
        <v>0</v>
      </c>
    </row>
    <row r="66" spans="8:12" ht="13.2">
      <c r="H66" s="9"/>
      <c r="I66" s="9"/>
      <c r="L66" s="6">
        <f>'CPB Data'!G66</f>
        <v>0</v>
      </c>
    </row>
    <row r="67" spans="8:12" ht="13.2">
      <c r="H67" s="9"/>
      <c r="I67" s="9"/>
      <c r="L67" s="6">
        <f>'CPB Data'!G67</f>
        <v>0</v>
      </c>
    </row>
    <row r="68" spans="8:12" ht="13.2">
      <c r="H68" s="9"/>
      <c r="I68" s="9"/>
      <c r="L68" s="6">
        <f>'CPB Data'!G68</f>
        <v>0</v>
      </c>
    </row>
    <row r="69" spans="8:12" ht="13.2">
      <c r="H69" s="9"/>
      <c r="I69" s="9"/>
      <c r="L69" s="6">
        <f>'CPB Data'!G69</f>
        <v>0</v>
      </c>
    </row>
    <row r="70" spans="8:12" ht="13.2">
      <c r="H70" s="9"/>
      <c r="I70" s="9"/>
      <c r="L70" s="6">
        <f>'CPB Data'!G70</f>
        <v>0</v>
      </c>
    </row>
    <row r="71" spans="8:12" ht="13.2">
      <c r="H71" s="9"/>
      <c r="I71" s="9"/>
      <c r="L71" s="6">
        <f>'CPB Data'!G71</f>
        <v>0</v>
      </c>
    </row>
    <row r="72" spans="8:12" ht="13.2">
      <c r="H72" s="9"/>
      <c r="I72" s="9"/>
      <c r="L72" s="6">
        <f>'CPB Data'!G72</f>
        <v>0</v>
      </c>
    </row>
    <row r="73" spans="8:12" ht="13.2">
      <c r="H73" s="9"/>
      <c r="I73" s="9"/>
      <c r="L73" s="6">
        <f>'CPB Data'!G73</f>
        <v>0</v>
      </c>
    </row>
    <row r="74" spans="8:12" ht="13.2">
      <c r="H74" s="9"/>
      <c r="I74" s="9"/>
      <c r="L74" s="6">
        <f>'CPB Data'!G74</f>
        <v>0</v>
      </c>
    </row>
    <row r="75" spans="8:12" ht="13.2">
      <c r="H75" s="9"/>
      <c r="I75" s="9"/>
      <c r="L75" s="6">
        <f>'CPB Data'!G75</f>
        <v>0</v>
      </c>
    </row>
    <row r="76" spans="8:12" ht="13.2">
      <c r="H76" s="9"/>
      <c r="I76" s="9"/>
    </row>
    <row r="77" spans="8:12" ht="13.2">
      <c r="H77" s="9"/>
      <c r="I77" s="9"/>
    </row>
    <row r="78" spans="8:12" ht="13.2">
      <c r="H78" s="9"/>
      <c r="I78" s="9"/>
    </row>
    <row r="79" spans="8:12" ht="13.2">
      <c r="H79" s="9"/>
      <c r="I79" s="9"/>
    </row>
    <row r="80" spans="8:12" ht="13.2">
      <c r="H80" s="9"/>
      <c r="I80" s="9"/>
    </row>
    <row r="81" spans="8:9" ht="13.2">
      <c r="H81" s="9"/>
      <c r="I81" s="9"/>
    </row>
    <row r="82" spans="8:9" ht="13.2">
      <c r="H82" s="9"/>
      <c r="I82" s="9"/>
    </row>
    <row r="83" spans="8:9" ht="13.2">
      <c r="H83" s="9"/>
      <c r="I83" s="9"/>
    </row>
    <row r="84" spans="8:9" ht="13.2">
      <c r="H84" s="9"/>
      <c r="I84" s="9"/>
    </row>
    <row r="85" spans="8:9" ht="13.2">
      <c r="H85" s="9"/>
      <c r="I85" s="9"/>
    </row>
    <row r="86" spans="8:9" ht="13.2">
      <c r="H86" s="9"/>
      <c r="I86" s="9"/>
    </row>
    <row r="87" spans="8:9" ht="13.2">
      <c r="H87" s="9"/>
      <c r="I87" s="9"/>
    </row>
    <row r="88" spans="8:9" ht="13.2">
      <c r="H88" s="9"/>
      <c r="I88" s="9"/>
    </row>
    <row r="89" spans="8:9" ht="13.2">
      <c r="H89" s="9"/>
      <c r="I89" s="9"/>
    </row>
    <row r="90" spans="8:9" ht="13.2">
      <c r="H90" s="9"/>
      <c r="I90" s="9"/>
    </row>
    <row r="91" spans="8:9" ht="13.2">
      <c r="H91" s="9"/>
      <c r="I91" s="9"/>
    </row>
    <row r="92" spans="8:9" ht="13.2">
      <c r="H92" s="9"/>
      <c r="I92" s="9"/>
    </row>
    <row r="93" spans="8:9" ht="13.2">
      <c r="H93" s="9"/>
      <c r="I93" s="9"/>
    </row>
    <row r="94" spans="8:9" ht="13.2">
      <c r="H94" s="9"/>
      <c r="I94" s="9"/>
    </row>
    <row r="95" spans="8:9" ht="13.2">
      <c r="H95" s="9"/>
      <c r="I95" s="9"/>
    </row>
    <row r="96" spans="8:9" ht="13.2">
      <c r="H96" s="9"/>
      <c r="I96" s="9"/>
    </row>
    <row r="97" spans="8:9" ht="13.2">
      <c r="H97" s="9"/>
      <c r="I97" s="9"/>
    </row>
    <row r="98" spans="8:9" ht="13.2">
      <c r="H98" s="9"/>
      <c r="I98" s="9"/>
    </row>
    <row r="99" spans="8:9" ht="13.2">
      <c r="H99" s="9"/>
      <c r="I99" s="9"/>
    </row>
    <row r="100" spans="8:9" ht="13.2">
      <c r="H100" s="9"/>
      <c r="I100" s="9"/>
    </row>
    <row r="101" spans="8:9" ht="13.2">
      <c r="H101" s="9"/>
      <c r="I101" s="9"/>
    </row>
    <row r="102" spans="8:9" ht="13.2">
      <c r="H102" s="9"/>
      <c r="I102" s="9"/>
    </row>
    <row r="103" spans="8:9" ht="13.2">
      <c r="H103" s="9"/>
      <c r="I103" s="9"/>
    </row>
    <row r="104" spans="8:9" ht="13.2">
      <c r="H104" s="9"/>
      <c r="I104" s="9"/>
    </row>
    <row r="105" spans="8:9" ht="13.2">
      <c r="H105" s="9"/>
      <c r="I105" s="9"/>
    </row>
    <row r="106" spans="8:9" ht="13.2">
      <c r="H106" s="9"/>
      <c r="I106" s="9"/>
    </row>
    <row r="107" spans="8:9" ht="13.2">
      <c r="H107" s="9"/>
      <c r="I107" s="9"/>
    </row>
    <row r="108" spans="8:9" ht="13.2">
      <c r="H108" s="9"/>
      <c r="I108" s="9"/>
    </row>
    <row r="109" spans="8:9" ht="13.2">
      <c r="H109" s="9"/>
      <c r="I109" s="9"/>
    </row>
    <row r="110" spans="8:9" ht="13.2">
      <c r="H110" s="9"/>
      <c r="I110" s="9"/>
    </row>
    <row r="111" spans="8:9" ht="13.2">
      <c r="H111" s="9"/>
      <c r="I111" s="9"/>
    </row>
    <row r="112" spans="8:9" ht="13.2">
      <c r="H112" s="9"/>
      <c r="I112" s="9"/>
    </row>
    <row r="113" spans="8:9" ht="13.2">
      <c r="H113" s="9"/>
      <c r="I113" s="9"/>
    </row>
    <row r="114" spans="8:9" ht="13.2">
      <c r="H114" s="9"/>
      <c r="I114" s="9"/>
    </row>
    <row r="115" spans="8:9" ht="13.2">
      <c r="H115" s="9"/>
      <c r="I115" s="9"/>
    </row>
    <row r="116" spans="8:9" ht="13.2">
      <c r="H116" s="9"/>
      <c r="I116" s="9"/>
    </row>
    <row r="117" spans="8:9" ht="13.2">
      <c r="H117" s="9"/>
      <c r="I117" s="9"/>
    </row>
    <row r="118" spans="8:9" ht="13.2">
      <c r="H118" s="9"/>
      <c r="I118" s="9"/>
    </row>
    <row r="119" spans="8:9" ht="13.2">
      <c r="H119" s="9"/>
      <c r="I119" s="9"/>
    </row>
    <row r="120" spans="8:9" ht="13.2">
      <c r="H120" s="9"/>
      <c r="I120" s="9"/>
    </row>
    <row r="121" spans="8:9" ht="13.2">
      <c r="H121" s="9"/>
      <c r="I121" s="9"/>
    </row>
    <row r="122" spans="8:9" ht="13.2">
      <c r="H122" s="9"/>
      <c r="I122" s="9"/>
    </row>
    <row r="123" spans="8:9" ht="13.2">
      <c r="H123" s="9"/>
      <c r="I123" s="9"/>
    </row>
    <row r="124" spans="8:9" ht="13.2">
      <c r="H124" s="9"/>
      <c r="I124" s="9"/>
    </row>
    <row r="125" spans="8:9" ht="13.2">
      <c r="H125" s="9"/>
      <c r="I125" s="9"/>
    </row>
    <row r="126" spans="8:9" ht="13.2">
      <c r="H126" s="9"/>
      <c r="I126" s="9"/>
    </row>
    <row r="127" spans="8:9" ht="13.2">
      <c r="H127" s="9"/>
      <c r="I127" s="9"/>
    </row>
    <row r="128" spans="8:9" ht="13.2">
      <c r="H128" s="9"/>
      <c r="I128" s="9"/>
    </row>
    <row r="129" spans="8:9" ht="13.2">
      <c r="H129" s="9"/>
      <c r="I129" s="9"/>
    </row>
    <row r="130" spans="8:9" ht="13.2">
      <c r="H130" s="9"/>
      <c r="I130" s="9"/>
    </row>
    <row r="131" spans="8:9" ht="13.2">
      <c r="H131" s="9"/>
      <c r="I131" s="9"/>
    </row>
    <row r="132" spans="8:9" ht="13.2">
      <c r="H132" s="9"/>
      <c r="I132" s="9"/>
    </row>
    <row r="133" spans="8:9" ht="13.2">
      <c r="H133" s="9"/>
      <c r="I133" s="9"/>
    </row>
    <row r="134" spans="8:9" ht="13.2">
      <c r="H134" s="9"/>
      <c r="I134" s="9"/>
    </row>
    <row r="135" spans="8:9" ht="13.2">
      <c r="H135" s="9"/>
      <c r="I135" s="9"/>
    </row>
    <row r="136" spans="8:9" ht="13.2">
      <c r="H136" s="9"/>
      <c r="I136" s="9"/>
    </row>
    <row r="137" spans="8:9" ht="13.2">
      <c r="H137" s="9"/>
      <c r="I137" s="9"/>
    </row>
    <row r="138" spans="8:9" ht="13.2">
      <c r="H138" s="9"/>
      <c r="I138" s="9"/>
    </row>
    <row r="139" spans="8:9" ht="13.2">
      <c r="H139" s="9"/>
      <c r="I139" s="9"/>
    </row>
    <row r="140" spans="8:9" ht="13.2">
      <c r="H140" s="9"/>
      <c r="I140" s="9"/>
    </row>
    <row r="141" spans="8:9" ht="13.2">
      <c r="H141" s="9"/>
      <c r="I141" s="9"/>
    </row>
    <row r="142" spans="8:9" ht="13.2">
      <c r="H142" s="9"/>
      <c r="I142" s="9"/>
    </row>
    <row r="143" spans="8:9" ht="13.2">
      <c r="H143" s="9"/>
      <c r="I143" s="9"/>
    </row>
    <row r="144" spans="8:9" ht="13.2">
      <c r="H144" s="9"/>
      <c r="I144" s="9"/>
    </row>
    <row r="145" spans="8:9" ht="13.2">
      <c r="H145" s="9"/>
      <c r="I145" s="9"/>
    </row>
    <row r="146" spans="8:9" ht="13.2">
      <c r="H146" s="9"/>
      <c r="I146" s="9"/>
    </row>
    <row r="147" spans="8:9" ht="13.2">
      <c r="H147" s="9"/>
      <c r="I147" s="9"/>
    </row>
    <row r="148" spans="8:9" ht="13.2">
      <c r="H148" s="9"/>
      <c r="I148" s="9"/>
    </row>
    <row r="149" spans="8:9" ht="13.2">
      <c r="H149" s="9"/>
      <c r="I149" s="9"/>
    </row>
    <row r="150" spans="8:9" ht="13.2">
      <c r="H150" s="9"/>
      <c r="I150" s="9"/>
    </row>
    <row r="151" spans="8:9" ht="13.2">
      <c r="H151" s="9"/>
      <c r="I151" s="9"/>
    </row>
    <row r="152" spans="8:9" ht="13.2">
      <c r="H152" s="9"/>
      <c r="I152" s="9"/>
    </row>
    <row r="153" spans="8:9" ht="13.2">
      <c r="H153" s="9"/>
      <c r="I153" s="9"/>
    </row>
    <row r="154" spans="8:9" ht="13.2">
      <c r="H154" s="9"/>
      <c r="I154" s="9"/>
    </row>
    <row r="155" spans="8:9" ht="13.2">
      <c r="H155" s="9"/>
      <c r="I155" s="9"/>
    </row>
    <row r="156" spans="8:9" ht="13.2">
      <c r="H156" s="9"/>
      <c r="I156" s="9"/>
    </row>
    <row r="157" spans="8:9" ht="13.2">
      <c r="H157" s="9"/>
      <c r="I157" s="9"/>
    </row>
    <row r="158" spans="8:9" ht="13.2">
      <c r="H158" s="9"/>
      <c r="I158" s="9"/>
    </row>
    <row r="159" spans="8:9" ht="13.2">
      <c r="H159" s="9"/>
      <c r="I159" s="9"/>
    </row>
    <row r="160" spans="8:9" ht="13.2">
      <c r="H160" s="9"/>
      <c r="I160" s="9"/>
    </row>
    <row r="161" spans="8:9" ht="13.2">
      <c r="H161" s="9"/>
      <c r="I161" s="9"/>
    </row>
    <row r="162" spans="8:9" ht="13.2">
      <c r="H162" s="9"/>
      <c r="I162" s="9"/>
    </row>
    <row r="163" spans="8:9" ht="13.2">
      <c r="H163" s="9"/>
      <c r="I163" s="9"/>
    </row>
    <row r="164" spans="8:9" ht="13.2">
      <c r="H164" s="9"/>
      <c r="I164" s="9"/>
    </row>
    <row r="165" spans="8:9" ht="13.2">
      <c r="H165" s="9"/>
      <c r="I165" s="9"/>
    </row>
    <row r="166" spans="8:9" ht="13.2">
      <c r="H166" s="9"/>
      <c r="I166" s="9"/>
    </row>
    <row r="167" spans="8:9" ht="13.2">
      <c r="H167" s="9"/>
      <c r="I167" s="9"/>
    </row>
    <row r="168" spans="8:9" ht="13.2">
      <c r="H168" s="9"/>
      <c r="I168" s="9"/>
    </row>
    <row r="169" spans="8:9" ht="13.2">
      <c r="H169" s="9"/>
      <c r="I169" s="9"/>
    </row>
    <row r="170" spans="8:9" ht="13.2">
      <c r="H170" s="9"/>
      <c r="I170" s="9"/>
    </row>
    <row r="171" spans="8:9" ht="13.2">
      <c r="H171" s="9"/>
      <c r="I171" s="9"/>
    </row>
    <row r="172" spans="8:9" ht="13.2">
      <c r="H172" s="9"/>
      <c r="I172" s="9"/>
    </row>
    <row r="173" spans="8:9" ht="13.2">
      <c r="H173" s="9"/>
      <c r="I173" s="9"/>
    </row>
    <row r="174" spans="8:9" ht="13.2">
      <c r="H174" s="9"/>
      <c r="I174" s="9"/>
    </row>
    <row r="175" spans="8:9" ht="13.2">
      <c r="H175" s="9"/>
      <c r="I175" s="9"/>
    </row>
    <row r="176" spans="8:9" ht="13.2">
      <c r="H176" s="9"/>
      <c r="I176" s="9"/>
    </row>
    <row r="177" spans="8:9" ht="13.2">
      <c r="H177" s="9"/>
      <c r="I177" s="9"/>
    </row>
    <row r="178" spans="8:9" ht="13.2">
      <c r="H178" s="9"/>
      <c r="I178" s="9"/>
    </row>
    <row r="179" spans="8:9" ht="13.2">
      <c r="H179" s="9"/>
      <c r="I179" s="9"/>
    </row>
    <row r="180" spans="8:9" ht="13.2">
      <c r="H180" s="9"/>
      <c r="I180" s="9"/>
    </row>
    <row r="181" spans="8:9" ht="13.2">
      <c r="H181" s="9"/>
      <c r="I181" s="9"/>
    </row>
    <row r="182" spans="8:9" ht="13.2">
      <c r="H182" s="9"/>
      <c r="I182" s="9"/>
    </row>
    <row r="183" spans="8:9" ht="13.2">
      <c r="H183" s="9"/>
      <c r="I183" s="9"/>
    </row>
    <row r="184" spans="8:9" ht="13.2">
      <c r="H184" s="9"/>
      <c r="I184" s="9"/>
    </row>
    <row r="185" spans="8:9" ht="13.2">
      <c r="H185" s="9"/>
      <c r="I185" s="9"/>
    </row>
    <row r="186" spans="8:9" ht="13.2">
      <c r="H186" s="9"/>
      <c r="I186" s="9"/>
    </row>
    <row r="187" spans="8:9" ht="13.2">
      <c r="H187" s="9"/>
      <c r="I187" s="9"/>
    </row>
    <row r="188" spans="8:9" ht="13.2">
      <c r="H188" s="9"/>
      <c r="I188" s="9"/>
    </row>
    <row r="189" spans="8:9" ht="13.2">
      <c r="H189" s="9"/>
      <c r="I189" s="9"/>
    </row>
    <row r="190" spans="8:9" ht="13.2">
      <c r="H190" s="9"/>
      <c r="I190" s="9"/>
    </row>
    <row r="191" spans="8:9" ht="13.2">
      <c r="H191" s="9"/>
      <c r="I191" s="9"/>
    </row>
    <row r="192" spans="8:9" ht="13.2">
      <c r="H192" s="9"/>
      <c r="I192" s="9"/>
    </row>
    <row r="193" spans="8:9" ht="13.2">
      <c r="H193" s="9"/>
      <c r="I193" s="9"/>
    </row>
    <row r="194" spans="8:9" ht="13.2">
      <c r="H194" s="9"/>
      <c r="I194" s="9"/>
    </row>
    <row r="195" spans="8:9" ht="13.2">
      <c r="H195" s="9"/>
      <c r="I195" s="9"/>
    </row>
    <row r="196" spans="8:9" ht="13.2">
      <c r="H196" s="9"/>
      <c r="I196" s="9"/>
    </row>
    <row r="197" spans="8:9" ht="13.2">
      <c r="H197" s="9"/>
      <c r="I197" s="9"/>
    </row>
    <row r="198" spans="8:9" ht="13.2">
      <c r="H198" s="9"/>
      <c r="I198" s="9"/>
    </row>
    <row r="199" spans="8:9" ht="13.2">
      <c r="H199" s="9"/>
      <c r="I199" s="9"/>
    </row>
    <row r="200" spans="8:9" ht="13.2">
      <c r="H200" s="9"/>
      <c r="I200" s="9"/>
    </row>
    <row r="201" spans="8:9" ht="13.2">
      <c r="H201" s="9"/>
      <c r="I201" s="9"/>
    </row>
    <row r="202" spans="8:9" ht="13.2">
      <c r="H202" s="9"/>
      <c r="I202" s="9"/>
    </row>
    <row r="203" spans="8:9" ht="13.2">
      <c r="H203" s="9"/>
      <c r="I203" s="9"/>
    </row>
    <row r="204" spans="8:9" ht="13.2">
      <c r="H204" s="9"/>
      <c r="I204" s="9"/>
    </row>
    <row r="205" spans="8:9" ht="13.2">
      <c r="H205" s="9"/>
      <c r="I205" s="9"/>
    </row>
    <row r="206" spans="8:9" ht="13.2">
      <c r="H206" s="9"/>
      <c r="I206" s="9"/>
    </row>
    <row r="207" spans="8:9" ht="13.2">
      <c r="H207" s="9"/>
      <c r="I207" s="9"/>
    </row>
    <row r="208" spans="8:9" ht="13.2">
      <c r="H208" s="9"/>
      <c r="I208" s="9"/>
    </row>
    <row r="209" spans="8:9" ht="13.2">
      <c r="H209" s="9"/>
      <c r="I209" s="9"/>
    </row>
    <row r="210" spans="8:9" ht="13.2">
      <c r="H210" s="9"/>
      <c r="I210" s="9"/>
    </row>
    <row r="211" spans="8:9" ht="13.2">
      <c r="H211" s="9"/>
      <c r="I211" s="9"/>
    </row>
    <row r="212" spans="8:9" ht="13.2">
      <c r="H212" s="9"/>
      <c r="I212" s="9"/>
    </row>
    <row r="213" spans="8:9" ht="13.2">
      <c r="H213" s="9"/>
      <c r="I213" s="9"/>
    </row>
    <row r="214" spans="8:9" ht="13.2">
      <c r="H214" s="9"/>
      <c r="I214" s="9"/>
    </row>
    <row r="215" spans="8:9" ht="13.2">
      <c r="H215" s="9"/>
      <c r="I215" s="9"/>
    </row>
    <row r="216" spans="8:9" ht="13.2">
      <c r="H216" s="9"/>
      <c r="I216" s="9"/>
    </row>
    <row r="217" spans="8:9" ht="13.2">
      <c r="H217" s="9"/>
      <c r="I217" s="9"/>
    </row>
    <row r="218" spans="8:9" ht="13.2">
      <c r="H218" s="9"/>
      <c r="I218" s="9"/>
    </row>
    <row r="219" spans="8:9" ht="13.2">
      <c r="H219" s="9"/>
      <c r="I219" s="9"/>
    </row>
    <row r="220" spans="8:9" ht="13.2">
      <c r="H220" s="9"/>
      <c r="I220" s="9"/>
    </row>
    <row r="221" spans="8:9" ht="13.2">
      <c r="H221" s="9"/>
      <c r="I221" s="9"/>
    </row>
    <row r="222" spans="8:9" ht="13.2">
      <c r="H222" s="9"/>
      <c r="I222" s="9"/>
    </row>
    <row r="223" spans="8:9" ht="13.2">
      <c r="H223" s="9"/>
      <c r="I223" s="9"/>
    </row>
    <row r="224" spans="8:9" ht="13.2">
      <c r="H224" s="9"/>
      <c r="I224" s="9"/>
    </row>
    <row r="225" spans="8:9" ht="13.2">
      <c r="H225" s="9"/>
      <c r="I225" s="9"/>
    </row>
    <row r="226" spans="8:9" ht="13.2">
      <c r="H226" s="9"/>
      <c r="I226" s="9"/>
    </row>
    <row r="227" spans="8:9" ht="13.2">
      <c r="H227" s="9"/>
      <c r="I227" s="9"/>
    </row>
    <row r="228" spans="8:9" ht="13.2">
      <c r="H228" s="9"/>
      <c r="I228" s="9"/>
    </row>
    <row r="229" spans="8:9" ht="13.2">
      <c r="H229" s="9"/>
      <c r="I229" s="9"/>
    </row>
    <row r="230" spans="8:9" ht="13.2">
      <c r="H230" s="9"/>
      <c r="I230" s="9"/>
    </row>
    <row r="231" spans="8:9" ht="13.2">
      <c r="H231" s="9"/>
      <c r="I231" s="9"/>
    </row>
    <row r="232" spans="8:9" ht="13.2">
      <c r="H232" s="9"/>
      <c r="I232" s="9"/>
    </row>
    <row r="233" spans="8:9" ht="13.2">
      <c r="H233" s="9"/>
      <c r="I233" s="9"/>
    </row>
    <row r="234" spans="8:9" ht="13.2">
      <c r="H234" s="9"/>
      <c r="I234" s="9"/>
    </row>
    <row r="235" spans="8:9" ht="13.2">
      <c r="H235" s="9"/>
      <c r="I235" s="9"/>
    </row>
    <row r="236" spans="8:9" ht="13.2">
      <c r="H236" s="9"/>
      <c r="I236" s="9"/>
    </row>
    <row r="237" spans="8:9" ht="13.2">
      <c r="H237" s="9"/>
      <c r="I237" s="9"/>
    </row>
    <row r="238" spans="8:9" ht="13.2">
      <c r="H238" s="9"/>
      <c r="I238" s="9"/>
    </row>
    <row r="239" spans="8:9" ht="13.2">
      <c r="H239" s="9"/>
      <c r="I239" s="9"/>
    </row>
    <row r="240" spans="8:9" ht="13.2">
      <c r="H240" s="9"/>
      <c r="I240" s="9"/>
    </row>
    <row r="241" spans="8:9" ht="13.2">
      <c r="H241" s="9"/>
      <c r="I241" s="9"/>
    </row>
    <row r="242" spans="8:9" ht="13.2">
      <c r="H242" s="9"/>
      <c r="I242" s="9"/>
    </row>
    <row r="243" spans="8:9" ht="13.2">
      <c r="H243" s="9"/>
      <c r="I243" s="9"/>
    </row>
    <row r="244" spans="8:9" ht="13.2">
      <c r="H244" s="9"/>
      <c r="I244" s="9"/>
    </row>
    <row r="245" spans="8:9" ht="13.2">
      <c r="H245" s="9"/>
      <c r="I245" s="9"/>
    </row>
    <row r="246" spans="8:9" ht="13.2">
      <c r="H246" s="9"/>
      <c r="I246" s="9"/>
    </row>
    <row r="247" spans="8:9" ht="13.2">
      <c r="H247" s="9"/>
      <c r="I247" s="9"/>
    </row>
    <row r="248" spans="8:9" ht="13.2">
      <c r="H248" s="9"/>
      <c r="I248" s="9"/>
    </row>
    <row r="249" spans="8:9" ht="13.2">
      <c r="H249" s="9"/>
      <c r="I249" s="9"/>
    </row>
    <row r="250" spans="8:9" ht="13.2">
      <c r="H250" s="9"/>
      <c r="I250" s="9"/>
    </row>
    <row r="251" spans="8:9" ht="13.2">
      <c r="H251" s="9"/>
      <c r="I251" s="9"/>
    </row>
    <row r="252" spans="8:9" ht="13.2">
      <c r="H252" s="9"/>
      <c r="I252" s="9"/>
    </row>
    <row r="253" spans="8:9" ht="13.2">
      <c r="H253" s="9"/>
      <c r="I253" s="9"/>
    </row>
    <row r="254" spans="8:9" ht="13.2">
      <c r="H254" s="9"/>
      <c r="I254" s="9"/>
    </row>
    <row r="255" spans="8:9" ht="13.2">
      <c r="H255" s="9"/>
      <c r="I255" s="9"/>
    </row>
    <row r="256" spans="8:9" ht="13.2">
      <c r="H256" s="9"/>
      <c r="I256" s="9"/>
    </row>
    <row r="257" spans="8:9" ht="13.2">
      <c r="H257" s="9"/>
      <c r="I257" s="9"/>
    </row>
    <row r="258" spans="8:9" ht="13.2">
      <c r="H258" s="9"/>
      <c r="I258" s="9"/>
    </row>
    <row r="259" spans="8:9" ht="13.2">
      <c r="H259" s="9"/>
      <c r="I259" s="9"/>
    </row>
    <row r="260" spans="8:9" ht="13.2">
      <c r="H260" s="9"/>
      <c r="I260" s="9"/>
    </row>
    <row r="261" spans="8:9" ht="13.2">
      <c r="H261" s="9"/>
      <c r="I261" s="9"/>
    </row>
    <row r="262" spans="8:9" ht="13.2">
      <c r="H262" s="9"/>
      <c r="I262" s="9"/>
    </row>
    <row r="263" spans="8:9" ht="13.2">
      <c r="H263" s="9"/>
      <c r="I263" s="9"/>
    </row>
    <row r="264" spans="8:9" ht="13.2">
      <c r="H264" s="9"/>
      <c r="I264" s="9"/>
    </row>
    <row r="265" spans="8:9" ht="13.2">
      <c r="H265" s="9"/>
      <c r="I265" s="9"/>
    </row>
    <row r="266" spans="8:9" ht="13.2">
      <c r="H266" s="9"/>
      <c r="I266" s="9"/>
    </row>
    <row r="267" spans="8:9" ht="13.2">
      <c r="H267" s="9"/>
      <c r="I267" s="9"/>
    </row>
    <row r="268" spans="8:9" ht="13.2">
      <c r="H268" s="9"/>
      <c r="I268" s="9"/>
    </row>
    <row r="269" spans="8:9" ht="13.2">
      <c r="H269" s="9"/>
      <c r="I269" s="9"/>
    </row>
    <row r="270" spans="8:9" ht="13.2">
      <c r="H270" s="9"/>
      <c r="I270" s="9"/>
    </row>
    <row r="271" spans="8:9" ht="13.2">
      <c r="H271" s="9"/>
      <c r="I271" s="9"/>
    </row>
    <row r="272" spans="8:9" ht="13.2">
      <c r="H272" s="9"/>
      <c r="I272" s="9"/>
    </row>
    <row r="273" spans="8:9" ht="13.2">
      <c r="H273" s="9"/>
      <c r="I273" s="9"/>
    </row>
    <row r="274" spans="8:9" ht="13.2">
      <c r="H274" s="9"/>
      <c r="I274" s="9"/>
    </row>
    <row r="275" spans="8:9" ht="13.2">
      <c r="H275" s="9"/>
      <c r="I275" s="9"/>
    </row>
    <row r="276" spans="8:9" ht="13.2">
      <c r="H276" s="9"/>
      <c r="I276" s="9"/>
    </row>
    <row r="277" spans="8:9" ht="13.2">
      <c r="H277" s="9"/>
      <c r="I277" s="9"/>
    </row>
    <row r="278" spans="8:9" ht="13.2">
      <c r="H278" s="9"/>
      <c r="I278" s="9"/>
    </row>
    <row r="279" spans="8:9" ht="13.2">
      <c r="H279" s="9"/>
      <c r="I279" s="9"/>
    </row>
    <row r="280" spans="8:9" ht="13.2">
      <c r="H280" s="9"/>
      <c r="I280" s="9"/>
    </row>
    <row r="281" spans="8:9" ht="13.2">
      <c r="H281" s="9"/>
      <c r="I281" s="9"/>
    </row>
    <row r="282" spans="8:9" ht="13.2">
      <c r="H282" s="9"/>
      <c r="I282" s="9"/>
    </row>
    <row r="283" spans="8:9" ht="13.2">
      <c r="H283" s="9"/>
      <c r="I283" s="9"/>
    </row>
    <row r="284" spans="8:9" ht="13.2">
      <c r="H284" s="9"/>
      <c r="I284" s="9"/>
    </row>
    <row r="285" spans="8:9" ht="13.2">
      <c r="H285" s="9"/>
      <c r="I285" s="9"/>
    </row>
    <row r="286" spans="8:9" ht="13.2">
      <c r="H286" s="9"/>
      <c r="I286" s="9"/>
    </row>
    <row r="287" spans="8:9" ht="13.2">
      <c r="H287" s="9"/>
      <c r="I287" s="9"/>
    </row>
    <row r="288" spans="8:9" ht="13.2">
      <c r="H288" s="9"/>
      <c r="I288" s="9"/>
    </row>
    <row r="289" spans="8:9" ht="13.2">
      <c r="H289" s="9"/>
      <c r="I289" s="9"/>
    </row>
    <row r="290" spans="8:9" ht="13.2">
      <c r="H290" s="9"/>
      <c r="I290" s="9"/>
    </row>
    <row r="291" spans="8:9" ht="13.2">
      <c r="H291" s="9"/>
      <c r="I291" s="9"/>
    </row>
    <row r="292" spans="8:9" ht="13.2">
      <c r="H292" s="9"/>
      <c r="I292" s="9"/>
    </row>
    <row r="293" spans="8:9" ht="13.2">
      <c r="H293" s="9"/>
      <c r="I293" s="9"/>
    </row>
    <row r="294" spans="8:9" ht="13.2">
      <c r="H294" s="9"/>
      <c r="I294" s="9"/>
    </row>
    <row r="295" spans="8:9" ht="13.2">
      <c r="H295" s="9"/>
      <c r="I295" s="9"/>
    </row>
    <row r="296" spans="8:9" ht="13.2">
      <c r="H296" s="9"/>
      <c r="I296" s="9"/>
    </row>
    <row r="297" spans="8:9" ht="13.2">
      <c r="H297" s="9"/>
      <c r="I297" s="9"/>
    </row>
    <row r="298" spans="8:9" ht="13.2">
      <c r="H298" s="9"/>
      <c r="I298" s="9"/>
    </row>
    <row r="299" spans="8:9" ht="13.2">
      <c r="H299" s="9"/>
      <c r="I299" s="9"/>
    </row>
    <row r="300" spans="8:9" ht="13.2">
      <c r="H300" s="9"/>
      <c r="I300" s="9"/>
    </row>
    <row r="301" spans="8:9" ht="13.2">
      <c r="H301" s="9"/>
      <c r="I301" s="9"/>
    </row>
    <row r="302" spans="8:9" ht="13.2">
      <c r="H302" s="9"/>
      <c r="I302" s="9"/>
    </row>
    <row r="303" spans="8:9" ht="13.2">
      <c r="H303" s="9"/>
      <c r="I303" s="9"/>
    </row>
    <row r="304" spans="8:9" ht="13.2">
      <c r="H304" s="9"/>
      <c r="I304" s="9"/>
    </row>
    <row r="305" spans="8:9" ht="13.2">
      <c r="H305" s="9"/>
      <c r="I305" s="9"/>
    </row>
    <row r="306" spans="8:9" ht="13.2">
      <c r="H306" s="9"/>
      <c r="I306" s="9"/>
    </row>
    <row r="307" spans="8:9" ht="13.2">
      <c r="H307" s="9"/>
      <c r="I307" s="9"/>
    </row>
    <row r="308" spans="8:9" ht="13.2">
      <c r="H308" s="9"/>
      <c r="I308" s="9"/>
    </row>
    <row r="309" spans="8:9" ht="13.2">
      <c r="H309" s="9"/>
      <c r="I309" s="9"/>
    </row>
    <row r="310" spans="8:9" ht="13.2">
      <c r="H310" s="9"/>
      <c r="I310" s="9"/>
    </row>
    <row r="311" spans="8:9" ht="13.2">
      <c r="H311" s="9"/>
      <c r="I311" s="9"/>
    </row>
    <row r="312" spans="8:9" ht="13.2">
      <c r="H312" s="9"/>
      <c r="I312" s="9"/>
    </row>
    <row r="313" spans="8:9" ht="13.2">
      <c r="H313" s="9"/>
      <c r="I313" s="9"/>
    </row>
    <row r="314" spans="8:9" ht="13.2">
      <c r="H314" s="9"/>
      <c r="I314" s="9"/>
    </row>
    <row r="315" spans="8:9" ht="13.2">
      <c r="H315" s="9"/>
      <c r="I315" s="9"/>
    </row>
    <row r="316" spans="8:9" ht="13.2">
      <c r="H316" s="9"/>
      <c r="I316" s="9"/>
    </row>
    <row r="317" spans="8:9" ht="13.2">
      <c r="H317" s="9"/>
      <c r="I317" s="9"/>
    </row>
    <row r="318" spans="8:9" ht="13.2">
      <c r="H318" s="9"/>
      <c r="I318" s="9"/>
    </row>
    <row r="319" spans="8:9" ht="13.2">
      <c r="H319" s="9"/>
      <c r="I319" s="9"/>
    </row>
    <row r="320" spans="8:9" ht="13.2">
      <c r="H320" s="9"/>
      <c r="I320" s="9"/>
    </row>
    <row r="321" spans="8:9" ht="13.2">
      <c r="H321" s="9"/>
      <c r="I321" s="9"/>
    </row>
    <row r="322" spans="8:9" ht="13.2">
      <c r="H322" s="9"/>
      <c r="I322" s="9"/>
    </row>
    <row r="323" spans="8:9" ht="13.2">
      <c r="H323" s="9"/>
      <c r="I323" s="9"/>
    </row>
    <row r="324" spans="8:9" ht="13.2">
      <c r="H324" s="9"/>
      <c r="I324" s="9"/>
    </row>
    <row r="325" spans="8:9" ht="13.2">
      <c r="H325" s="9"/>
      <c r="I325" s="9"/>
    </row>
    <row r="326" spans="8:9" ht="13.2">
      <c r="H326" s="9"/>
      <c r="I326" s="9"/>
    </row>
    <row r="327" spans="8:9" ht="13.2">
      <c r="H327" s="9"/>
      <c r="I327" s="9"/>
    </row>
    <row r="328" spans="8:9" ht="13.2">
      <c r="H328" s="9"/>
      <c r="I328" s="9"/>
    </row>
    <row r="329" spans="8:9" ht="13.2">
      <c r="H329" s="9"/>
      <c r="I329" s="9"/>
    </row>
    <row r="330" spans="8:9" ht="13.2">
      <c r="H330" s="9"/>
      <c r="I330" s="9"/>
    </row>
    <row r="331" spans="8:9" ht="13.2">
      <c r="H331" s="9"/>
      <c r="I331" s="9"/>
    </row>
    <row r="332" spans="8:9" ht="13.2">
      <c r="H332" s="9"/>
      <c r="I332" s="9"/>
    </row>
    <row r="333" spans="8:9" ht="13.2">
      <c r="H333" s="9"/>
      <c r="I333" s="9"/>
    </row>
    <row r="334" spans="8:9" ht="13.2">
      <c r="H334" s="9"/>
      <c r="I334" s="9"/>
    </row>
    <row r="335" spans="8:9" ht="13.2">
      <c r="H335" s="9"/>
      <c r="I335" s="9"/>
    </row>
    <row r="336" spans="8:9" ht="13.2">
      <c r="H336" s="9"/>
      <c r="I336" s="9"/>
    </row>
    <row r="337" spans="8:9" ht="13.2">
      <c r="H337" s="9"/>
      <c r="I337" s="9"/>
    </row>
    <row r="338" spans="8:9" ht="13.2">
      <c r="H338" s="9"/>
      <c r="I338" s="9"/>
    </row>
    <row r="339" spans="8:9" ht="13.2">
      <c r="H339" s="9"/>
      <c r="I339" s="9"/>
    </row>
    <row r="340" spans="8:9" ht="13.2">
      <c r="H340" s="9"/>
      <c r="I340" s="9"/>
    </row>
    <row r="341" spans="8:9" ht="13.2">
      <c r="H341" s="9"/>
      <c r="I341" s="9"/>
    </row>
    <row r="342" spans="8:9" ht="13.2">
      <c r="H342" s="9"/>
      <c r="I342" s="9"/>
    </row>
    <row r="343" spans="8:9" ht="13.2">
      <c r="H343" s="9"/>
      <c r="I343" s="9"/>
    </row>
    <row r="344" spans="8:9" ht="13.2">
      <c r="H344" s="9"/>
      <c r="I344" s="9"/>
    </row>
    <row r="345" spans="8:9" ht="13.2">
      <c r="H345" s="9"/>
      <c r="I345" s="9"/>
    </row>
    <row r="346" spans="8:9" ht="13.2">
      <c r="H346" s="9"/>
      <c r="I346" s="9"/>
    </row>
    <row r="347" spans="8:9" ht="13.2">
      <c r="H347" s="9"/>
      <c r="I347" s="9"/>
    </row>
    <row r="348" spans="8:9" ht="13.2">
      <c r="H348" s="9"/>
      <c r="I348" s="9"/>
    </row>
    <row r="349" spans="8:9" ht="13.2">
      <c r="H349" s="9"/>
      <c r="I349" s="9"/>
    </row>
    <row r="350" spans="8:9" ht="13.2">
      <c r="H350" s="9"/>
      <c r="I350" s="9"/>
    </row>
    <row r="351" spans="8:9" ht="13.2">
      <c r="H351" s="9"/>
      <c r="I351" s="9"/>
    </row>
    <row r="352" spans="8:9" ht="13.2">
      <c r="H352" s="9"/>
      <c r="I352" s="9"/>
    </row>
    <row r="353" spans="8:9" ht="13.2">
      <c r="H353" s="9"/>
      <c r="I353" s="9"/>
    </row>
    <row r="354" spans="8:9" ht="13.2">
      <c r="H354" s="9"/>
      <c r="I354" s="9"/>
    </row>
    <row r="355" spans="8:9" ht="13.2">
      <c r="H355" s="9"/>
      <c r="I355" s="9"/>
    </row>
    <row r="356" spans="8:9" ht="13.2">
      <c r="H356" s="9"/>
      <c r="I356" s="9"/>
    </row>
    <row r="357" spans="8:9" ht="13.2">
      <c r="H357" s="9"/>
      <c r="I357" s="9"/>
    </row>
    <row r="358" spans="8:9" ht="13.2">
      <c r="H358" s="9"/>
      <c r="I358" s="9"/>
    </row>
    <row r="359" spans="8:9" ht="13.2">
      <c r="H359" s="9"/>
      <c r="I359" s="9"/>
    </row>
    <row r="360" spans="8:9" ht="13.2">
      <c r="H360" s="9"/>
      <c r="I360" s="9"/>
    </row>
    <row r="361" spans="8:9" ht="13.2">
      <c r="H361" s="9"/>
      <c r="I361" s="9"/>
    </row>
    <row r="362" spans="8:9" ht="13.2">
      <c r="H362" s="9"/>
      <c r="I362" s="9"/>
    </row>
    <row r="363" spans="8:9" ht="13.2">
      <c r="H363" s="9"/>
      <c r="I363" s="9"/>
    </row>
    <row r="364" spans="8:9" ht="13.2">
      <c r="H364" s="9"/>
      <c r="I364" s="9"/>
    </row>
    <row r="365" spans="8:9" ht="13.2">
      <c r="H365" s="9"/>
      <c r="I365" s="9"/>
    </row>
    <row r="366" spans="8:9" ht="13.2">
      <c r="H366" s="9"/>
      <c r="I366" s="9"/>
    </row>
    <row r="367" spans="8:9" ht="13.2">
      <c r="H367" s="9"/>
      <c r="I367" s="9"/>
    </row>
    <row r="368" spans="8:9" ht="13.2">
      <c r="H368" s="9"/>
      <c r="I368" s="9"/>
    </row>
    <row r="369" spans="8:9" ht="13.2">
      <c r="H369" s="9"/>
      <c r="I369" s="9"/>
    </row>
    <row r="370" spans="8:9" ht="13.2">
      <c r="H370" s="9"/>
      <c r="I370" s="9"/>
    </row>
    <row r="371" spans="8:9" ht="13.2">
      <c r="H371" s="9"/>
      <c r="I371" s="9"/>
    </row>
    <row r="372" spans="8:9" ht="13.2">
      <c r="H372" s="9"/>
      <c r="I372" s="9"/>
    </row>
    <row r="373" spans="8:9" ht="13.2">
      <c r="H373" s="9"/>
      <c r="I373" s="9"/>
    </row>
    <row r="374" spans="8:9" ht="13.2">
      <c r="H374" s="9"/>
      <c r="I374" s="9"/>
    </row>
    <row r="375" spans="8:9" ht="13.2">
      <c r="H375" s="9"/>
      <c r="I375" s="9"/>
    </row>
    <row r="376" spans="8:9" ht="13.2">
      <c r="H376" s="9"/>
      <c r="I376" s="9"/>
    </row>
    <row r="377" spans="8:9" ht="13.2">
      <c r="H377" s="9"/>
      <c r="I377" s="9"/>
    </row>
    <row r="378" spans="8:9" ht="13.2">
      <c r="H378" s="9"/>
      <c r="I378" s="9"/>
    </row>
    <row r="379" spans="8:9" ht="13.2">
      <c r="H379" s="9"/>
      <c r="I379" s="9"/>
    </row>
    <row r="380" spans="8:9" ht="13.2">
      <c r="H380" s="9"/>
      <c r="I380" s="9"/>
    </row>
    <row r="381" spans="8:9" ht="13.2">
      <c r="H381" s="9"/>
      <c r="I381" s="9"/>
    </row>
    <row r="382" spans="8:9" ht="13.2">
      <c r="H382" s="9"/>
      <c r="I382" s="9"/>
    </row>
    <row r="383" spans="8:9" ht="13.2">
      <c r="H383" s="9"/>
      <c r="I383" s="9"/>
    </row>
    <row r="384" spans="8:9" ht="13.2">
      <c r="H384" s="9"/>
      <c r="I384" s="9"/>
    </row>
    <row r="385" spans="8:9" ht="13.2">
      <c r="H385" s="9"/>
      <c r="I385" s="9"/>
    </row>
    <row r="386" spans="8:9" ht="13.2">
      <c r="H386" s="9"/>
      <c r="I386" s="9"/>
    </row>
    <row r="387" spans="8:9" ht="13.2">
      <c r="H387" s="9"/>
      <c r="I387" s="9"/>
    </row>
    <row r="388" spans="8:9" ht="13.2">
      <c r="H388" s="9"/>
      <c r="I388" s="9"/>
    </row>
    <row r="389" spans="8:9" ht="13.2">
      <c r="H389" s="9"/>
      <c r="I389" s="9"/>
    </row>
    <row r="390" spans="8:9" ht="13.2">
      <c r="H390" s="9"/>
      <c r="I390" s="9"/>
    </row>
    <row r="391" spans="8:9" ht="13.2">
      <c r="H391" s="9"/>
      <c r="I391" s="9"/>
    </row>
    <row r="392" spans="8:9" ht="13.2">
      <c r="H392" s="9"/>
      <c r="I392" s="9"/>
    </row>
    <row r="393" spans="8:9" ht="13.2">
      <c r="H393" s="9"/>
      <c r="I393" s="9"/>
    </row>
    <row r="394" spans="8:9" ht="13.2">
      <c r="H394" s="9"/>
      <c r="I394" s="9"/>
    </row>
    <row r="395" spans="8:9" ht="13.2">
      <c r="H395" s="9"/>
      <c r="I395" s="9"/>
    </row>
    <row r="396" spans="8:9" ht="13.2">
      <c r="H396" s="9"/>
      <c r="I396" s="9"/>
    </row>
    <row r="397" spans="8:9" ht="13.2">
      <c r="H397" s="9"/>
      <c r="I397" s="9"/>
    </row>
    <row r="398" spans="8:9" ht="13.2">
      <c r="H398" s="9"/>
      <c r="I398" s="9"/>
    </row>
    <row r="399" spans="8:9" ht="13.2">
      <c r="H399" s="9"/>
      <c r="I399" s="9"/>
    </row>
    <row r="400" spans="8:9" ht="13.2">
      <c r="H400" s="9"/>
      <c r="I400" s="9"/>
    </row>
    <row r="401" spans="8:9" ht="13.2">
      <c r="H401" s="9"/>
      <c r="I401" s="9"/>
    </row>
    <row r="402" spans="8:9" ht="13.2">
      <c r="H402" s="9"/>
      <c r="I402" s="9"/>
    </row>
    <row r="403" spans="8:9" ht="13.2">
      <c r="H403" s="9"/>
      <c r="I403" s="9"/>
    </row>
    <row r="404" spans="8:9" ht="13.2">
      <c r="H404" s="9"/>
      <c r="I404" s="9"/>
    </row>
    <row r="405" spans="8:9" ht="13.2">
      <c r="H405" s="9"/>
      <c r="I405" s="9"/>
    </row>
    <row r="406" spans="8:9" ht="13.2">
      <c r="H406" s="9"/>
      <c r="I406" s="9"/>
    </row>
    <row r="407" spans="8:9" ht="13.2">
      <c r="H407" s="9"/>
      <c r="I407" s="9"/>
    </row>
    <row r="408" spans="8:9" ht="13.2">
      <c r="H408" s="9"/>
      <c r="I408" s="9"/>
    </row>
    <row r="409" spans="8:9" ht="13.2">
      <c r="H409" s="9"/>
      <c r="I409" s="9"/>
    </row>
    <row r="410" spans="8:9" ht="13.2">
      <c r="H410" s="9"/>
      <c r="I410" s="9"/>
    </row>
    <row r="411" spans="8:9" ht="13.2">
      <c r="H411" s="9"/>
      <c r="I411" s="9"/>
    </row>
    <row r="412" spans="8:9" ht="13.2">
      <c r="H412" s="9"/>
      <c r="I412" s="9"/>
    </row>
    <row r="413" spans="8:9" ht="13.2">
      <c r="H413" s="9"/>
      <c r="I413" s="9"/>
    </row>
    <row r="414" spans="8:9" ht="13.2">
      <c r="H414" s="9"/>
      <c r="I414" s="9"/>
    </row>
    <row r="415" spans="8:9" ht="13.2">
      <c r="H415" s="9"/>
      <c r="I415" s="9"/>
    </row>
    <row r="416" spans="8:9" ht="13.2">
      <c r="H416" s="9"/>
      <c r="I416" s="9"/>
    </row>
    <row r="417" spans="8:9" ht="13.2">
      <c r="H417" s="9"/>
      <c r="I417" s="9"/>
    </row>
    <row r="418" spans="8:9" ht="13.2">
      <c r="H418" s="9"/>
      <c r="I418" s="9"/>
    </row>
    <row r="419" spans="8:9" ht="13.2">
      <c r="H419" s="9"/>
      <c r="I419" s="9"/>
    </row>
    <row r="420" spans="8:9" ht="13.2">
      <c r="H420" s="9"/>
      <c r="I420" s="9"/>
    </row>
    <row r="421" spans="8:9" ht="13.2">
      <c r="H421" s="9"/>
      <c r="I421" s="9"/>
    </row>
    <row r="422" spans="8:9" ht="13.2">
      <c r="H422" s="9"/>
      <c r="I422" s="9"/>
    </row>
    <row r="423" spans="8:9" ht="13.2">
      <c r="H423" s="9"/>
      <c r="I423" s="9"/>
    </row>
    <row r="424" spans="8:9" ht="13.2">
      <c r="H424" s="9"/>
      <c r="I424" s="9"/>
    </row>
    <row r="425" spans="8:9" ht="13.2">
      <c r="H425" s="9"/>
      <c r="I425" s="9"/>
    </row>
    <row r="426" spans="8:9" ht="13.2">
      <c r="H426" s="9"/>
      <c r="I426" s="9"/>
    </row>
    <row r="427" spans="8:9" ht="13.2">
      <c r="H427" s="9"/>
      <c r="I427" s="9"/>
    </row>
    <row r="428" spans="8:9" ht="13.2">
      <c r="H428" s="9"/>
      <c r="I428" s="9"/>
    </row>
    <row r="429" spans="8:9" ht="13.2">
      <c r="H429" s="9"/>
      <c r="I429" s="9"/>
    </row>
    <row r="430" spans="8:9" ht="13.2">
      <c r="H430" s="9"/>
      <c r="I430" s="9"/>
    </row>
    <row r="431" spans="8:9" ht="13.2">
      <c r="H431" s="9"/>
      <c r="I431" s="9"/>
    </row>
    <row r="432" spans="8:9" ht="13.2">
      <c r="H432" s="9"/>
      <c r="I432" s="9"/>
    </row>
    <row r="433" spans="8:9" ht="13.2">
      <c r="H433" s="9"/>
      <c r="I433" s="9"/>
    </row>
    <row r="434" spans="8:9" ht="13.2">
      <c r="H434" s="9"/>
      <c r="I434" s="9"/>
    </row>
    <row r="435" spans="8:9" ht="13.2">
      <c r="H435" s="9"/>
      <c r="I435" s="9"/>
    </row>
    <row r="436" spans="8:9" ht="13.2">
      <c r="H436" s="9"/>
      <c r="I436" s="9"/>
    </row>
    <row r="437" spans="8:9" ht="13.2">
      <c r="H437" s="9"/>
      <c r="I437" s="9"/>
    </row>
    <row r="438" spans="8:9" ht="13.2">
      <c r="H438" s="9"/>
      <c r="I438" s="9"/>
    </row>
    <row r="439" spans="8:9" ht="13.2">
      <c r="H439" s="9"/>
      <c r="I439" s="9"/>
    </row>
    <row r="440" spans="8:9" ht="13.2">
      <c r="H440" s="9"/>
      <c r="I440" s="9"/>
    </row>
    <row r="441" spans="8:9" ht="13.2">
      <c r="H441" s="9"/>
      <c r="I441" s="9"/>
    </row>
    <row r="442" spans="8:9" ht="13.2">
      <c r="H442" s="9"/>
      <c r="I442" s="9"/>
    </row>
    <row r="443" spans="8:9" ht="13.2">
      <c r="H443" s="9"/>
      <c r="I443" s="9"/>
    </row>
    <row r="444" spans="8:9" ht="13.2">
      <c r="H444" s="9"/>
      <c r="I444" s="9"/>
    </row>
    <row r="445" spans="8:9" ht="13.2">
      <c r="H445" s="9"/>
      <c r="I445" s="9"/>
    </row>
    <row r="446" spans="8:9" ht="13.2">
      <c r="H446" s="9"/>
      <c r="I446" s="9"/>
    </row>
    <row r="447" spans="8:9" ht="13.2">
      <c r="H447" s="9"/>
      <c r="I447" s="9"/>
    </row>
    <row r="448" spans="8:9" ht="13.2">
      <c r="H448" s="9"/>
      <c r="I448" s="9"/>
    </row>
    <row r="449" spans="8:9" ht="13.2">
      <c r="H449" s="9"/>
      <c r="I449" s="9"/>
    </row>
    <row r="450" spans="8:9" ht="13.2">
      <c r="H450" s="9"/>
      <c r="I450" s="9"/>
    </row>
    <row r="451" spans="8:9" ht="13.2">
      <c r="H451" s="9"/>
      <c r="I451" s="9"/>
    </row>
    <row r="452" spans="8:9" ht="13.2">
      <c r="H452" s="9"/>
      <c r="I452" s="9"/>
    </row>
    <row r="453" spans="8:9" ht="13.2">
      <c r="H453" s="9"/>
      <c r="I453" s="9"/>
    </row>
    <row r="454" spans="8:9" ht="13.2">
      <c r="H454" s="9"/>
      <c r="I454" s="9"/>
    </row>
    <row r="455" spans="8:9" ht="13.2">
      <c r="H455" s="9"/>
      <c r="I455" s="9"/>
    </row>
    <row r="456" spans="8:9" ht="13.2">
      <c r="H456" s="9"/>
      <c r="I456" s="9"/>
    </row>
    <row r="457" spans="8:9" ht="13.2">
      <c r="H457" s="9"/>
      <c r="I457" s="9"/>
    </row>
    <row r="458" spans="8:9" ht="13.2">
      <c r="H458" s="9"/>
      <c r="I458" s="9"/>
    </row>
    <row r="459" spans="8:9" ht="13.2">
      <c r="H459" s="9"/>
      <c r="I459" s="9"/>
    </row>
    <row r="460" spans="8:9" ht="13.2">
      <c r="H460" s="9"/>
      <c r="I460" s="9"/>
    </row>
    <row r="461" spans="8:9" ht="13.2">
      <c r="H461" s="9"/>
      <c r="I461" s="9"/>
    </row>
    <row r="462" spans="8:9" ht="13.2">
      <c r="H462" s="9"/>
      <c r="I462" s="9"/>
    </row>
    <row r="463" spans="8:9" ht="13.2">
      <c r="H463" s="9"/>
      <c r="I463" s="9"/>
    </row>
    <row r="464" spans="8:9" ht="13.2">
      <c r="H464" s="9"/>
      <c r="I464" s="9"/>
    </row>
    <row r="465" spans="8:9" ht="13.2">
      <c r="H465" s="9"/>
      <c r="I465" s="9"/>
    </row>
    <row r="466" spans="8:9" ht="13.2">
      <c r="H466" s="9"/>
      <c r="I466" s="9"/>
    </row>
    <row r="467" spans="8:9" ht="13.2">
      <c r="H467" s="9"/>
      <c r="I467" s="9"/>
    </row>
    <row r="468" spans="8:9" ht="13.2">
      <c r="H468" s="9"/>
      <c r="I468" s="9"/>
    </row>
    <row r="469" spans="8:9" ht="13.2">
      <c r="H469" s="9"/>
      <c r="I469" s="9"/>
    </row>
    <row r="470" spans="8:9" ht="13.2">
      <c r="H470" s="9"/>
      <c r="I470" s="9"/>
    </row>
    <row r="471" spans="8:9" ht="13.2">
      <c r="H471" s="9"/>
      <c r="I471" s="9"/>
    </row>
    <row r="472" spans="8:9" ht="13.2">
      <c r="H472" s="9"/>
      <c r="I472" s="9"/>
    </row>
    <row r="473" spans="8:9" ht="13.2">
      <c r="H473" s="9"/>
      <c r="I473" s="9"/>
    </row>
    <row r="474" spans="8:9" ht="13.2">
      <c r="H474" s="9"/>
      <c r="I474" s="9"/>
    </row>
    <row r="475" spans="8:9" ht="13.2">
      <c r="H475" s="9"/>
      <c r="I475" s="9"/>
    </row>
    <row r="476" spans="8:9" ht="13.2">
      <c r="H476" s="9"/>
      <c r="I476" s="9"/>
    </row>
    <row r="477" spans="8:9" ht="13.2">
      <c r="H477" s="9"/>
      <c r="I477" s="9"/>
    </row>
    <row r="478" spans="8:9" ht="13.2">
      <c r="H478" s="9"/>
      <c r="I478" s="9"/>
    </row>
    <row r="479" spans="8:9" ht="13.2">
      <c r="H479" s="9"/>
      <c r="I479" s="9"/>
    </row>
    <row r="480" spans="8:9" ht="13.2">
      <c r="H480" s="9"/>
      <c r="I480" s="9"/>
    </row>
    <row r="481" spans="8:9" ht="13.2">
      <c r="H481" s="9"/>
      <c r="I481" s="9"/>
    </row>
    <row r="482" spans="8:9" ht="13.2">
      <c r="H482" s="9"/>
      <c r="I482" s="9"/>
    </row>
    <row r="483" spans="8:9" ht="13.2">
      <c r="H483" s="9"/>
      <c r="I483" s="9"/>
    </row>
    <row r="484" spans="8:9" ht="13.2">
      <c r="H484" s="9"/>
      <c r="I484" s="9"/>
    </row>
    <row r="485" spans="8:9" ht="13.2">
      <c r="H485" s="9"/>
      <c r="I485" s="9"/>
    </row>
    <row r="486" spans="8:9" ht="13.2">
      <c r="H486" s="9"/>
      <c r="I486" s="9"/>
    </row>
    <row r="487" spans="8:9" ht="13.2">
      <c r="H487" s="9"/>
      <c r="I487" s="9"/>
    </row>
    <row r="488" spans="8:9" ht="13.2">
      <c r="H488" s="9"/>
      <c r="I488" s="9"/>
    </row>
    <row r="489" spans="8:9" ht="13.2">
      <c r="H489" s="9"/>
      <c r="I489" s="9"/>
    </row>
    <row r="490" spans="8:9" ht="13.2">
      <c r="H490" s="9"/>
      <c r="I490" s="9"/>
    </row>
    <row r="491" spans="8:9" ht="13.2">
      <c r="H491" s="9"/>
      <c r="I491" s="9"/>
    </row>
    <row r="492" spans="8:9" ht="13.2">
      <c r="H492" s="9"/>
      <c r="I492" s="9"/>
    </row>
    <row r="493" spans="8:9" ht="13.2">
      <c r="H493" s="9"/>
      <c r="I493" s="9"/>
    </row>
    <row r="494" spans="8:9" ht="13.2">
      <c r="H494" s="9"/>
      <c r="I494" s="9"/>
    </row>
    <row r="495" spans="8:9" ht="13.2">
      <c r="H495" s="9"/>
      <c r="I495" s="9"/>
    </row>
    <row r="496" spans="8:9" ht="13.2">
      <c r="H496" s="9"/>
      <c r="I496" s="9"/>
    </row>
    <row r="497" spans="8:9" ht="13.2">
      <c r="H497" s="9"/>
      <c r="I497" s="9"/>
    </row>
    <row r="498" spans="8:9" ht="13.2">
      <c r="H498" s="9"/>
      <c r="I498" s="9"/>
    </row>
    <row r="499" spans="8:9" ht="13.2">
      <c r="H499" s="9"/>
      <c r="I499" s="9"/>
    </row>
    <row r="500" spans="8:9" ht="13.2">
      <c r="H500" s="9"/>
      <c r="I500" s="9"/>
    </row>
    <row r="501" spans="8:9" ht="13.2">
      <c r="H501" s="9"/>
      <c r="I501" s="9"/>
    </row>
    <row r="502" spans="8:9" ht="13.2">
      <c r="H502" s="9"/>
      <c r="I502" s="9"/>
    </row>
    <row r="503" spans="8:9" ht="13.2">
      <c r="H503" s="9"/>
      <c r="I503" s="9"/>
    </row>
    <row r="504" spans="8:9" ht="13.2">
      <c r="H504" s="9"/>
      <c r="I504" s="9"/>
    </row>
    <row r="505" spans="8:9" ht="13.2">
      <c r="H505" s="9"/>
      <c r="I505" s="9"/>
    </row>
    <row r="506" spans="8:9" ht="13.2">
      <c r="H506" s="9"/>
      <c r="I506" s="9"/>
    </row>
    <row r="507" spans="8:9" ht="13.2">
      <c r="H507" s="9"/>
      <c r="I507" s="9"/>
    </row>
    <row r="508" spans="8:9" ht="13.2">
      <c r="H508" s="9"/>
      <c r="I508" s="9"/>
    </row>
    <row r="509" spans="8:9" ht="13.2">
      <c r="H509" s="9"/>
      <c r="I509" s="9"/>
    </row>
    <row r="510" spans="8:9" ht="13.2">
      <c r="H510" s="9"/>
      <c r="I510" s="9"/>
    </row>
    <row r="511" spans="8:9" ht="13.2">
      <c r="H511" s="9"/>
      <c r="I511" s="9"/>
    </row>
    <row r="512" spans="8:9" ht="13.2">
      <c r="H512" s="9"/>
      <c r="I512" s="9"/>
    </row>
    <row r="513" spans="8:9" ht="13.2">
      <c r="H513" s="9"/>
      <c r="I513" s="9"/>
    </row>
    <row r="514" spans="8:9" ht="13.2">
      <c r="H514" s="9"/>
      <c r="I514" s="9"/>
    </row>
    <row r="515" spans="8:9" ht="13.2">
      <c r="H515" s="9"/>
      <c r="I515" s="9"/>
    </row>
    <row r="516" spans="8:9" ht="13.2">
      <c r="H516" s="9"/>
      <c r="I516" s="9"/>
    </row>
    <row r="517" spans="8:9" ht="13.2">
      <c r="H517" s="9"/>
      <c r="I517" s="9"/>
    </row>
    <row r="518" spans="8:9" ht="13.2">
      <c r="H518" s="9"/>
      <c r="I518" s="9"/>
    </row>
    <row r="519" spans="8:9" ht="13.2">
      <c r="H519" s="9"/>
      <c r="I519" s="9"/>
    </row>
    <row r="520" spans="8:9" ht="13.2">
      <c r="H520" s="9"/>
      <c r="I520" s="9"/>
    </row>
    <row r="521" spans="8:9" ht="13.2">
      <c r="H521" s="9"/>
      <c r="I521" s="9"/>
    </row>
    <row r="522" spans="8:9" ht="13.2">
      <c r="H522" s="9"/>
      <c r="I522" s="9"/>
    </row>
    <row r="523" spans="8:9" ht="13.2">
      <c r="H523" s="9"/>
      <c r="I523" s="9"/>
    </row>
    <row r="524" spans="8:9" ht="13.2">
      <c r="H524" s="9"/>
      <c r="I524" s="9"/>
    </row>
    <row r="525" spans="8:9" ht="13.2">
      <c r="H525" s="9"/>
      <c r="I525" s="9"/>
    </row>
    <row r="526" spans="8:9" ht="13.2">
      <c r="H526" s="9"/>
      <c r="I526" s="9"/>
    </row>
    <row r="527" spans="8:9" ht="13.2">
      <c r="H527" s="9"/>
      <c r="I527" s="9"/>
    </row>
    <row r="528" spans="8:9" ht="13.2">
      <c r="H528" s="9"/>
      <c r="I528" s="9"/>
    </row>
    <row r="529" spans="8:9" ht="13.2">
      <c r="H529" s="9"/>
      <c r="I529" s="9"/>
    </row>
    <row r="530" spans="8:9" ht="13.2">
      <c r="H530" s="9"/>
      <c r="I530" s="9"/>
    </row>
    <row r="531" spans="8:9" ht="13.2">
      <c r="H531" s="9"/>
      <c r="I531" s="9"/>
    </row>
    <row r="532" spans="8:9" ht="13.2">
      <c r="H532" s="9"/>
      <c r="I532" s="9"/>
    </row>
    <row r="533" spans="8:9" ht="13.2">
      <c r="H533" s="9"/>
      <c r="I533" s="9"/>
    </row>
    <row r="534" spans="8:9" ht="13.2">
      <c r="H534" s="9"/>
      <c r="I534" s="9"/>
    </row>
    <row r="535" spans="8:9" ht="13.2">
      <c r="H535" s="9"/>
      <c r="I535" s="9"/>
    </row>
    <row r="536" spans="8:9" ht="13.2">
      <c r="H536" s="9"/>
      <c r="I536" s="9"/>
    </row>
    <row r="537" spans="8:9" ht="13.2">
      <c r="H537" s="9"/>
      <c r="I537" s="9"/>
    </row>
    <row r="538" spans="8:9" ht="13.2">
      <c r="H538" s="9"/>
      <c r="I538" s="9"/>
    </row>
    <row r="539" spans="8:9" ht="13.2">
      <c r="H539" s="9"/>
      <c r="I539" s="9"/>
    </row>
    <row r="540" spans="8:9" ht="13.2">
      <c r="H540" s="9"/>
      <c r="I540" s="9"/>
    </row>
    <row r="541" spans="8:9" ht="13.2">
      <c r="H541" s="9"/>
      <c r="I541" s="9"/>
    </row>
    <row r="542" spans="8:9" ht="13.2">
      <c r="H542" s="9"/>
      <c r="I542" s="9"/>
    </row>
    <row r="543" spans="8:9" ht="13.2">
      <c r="H543" s="9"/>
      <c r="I543" s="9"/>
    </row>
    <row r="544" spans="8:9" ht="13.2">
      <c r="H544" s="9"/>
      <c r="I544" s="9"/>
    </row>
    <row r="545" spans="8:9" ht="13.2">
      <c r="H545" s="9"/>
      <c r="I545" s="9"/>
    </row>
    <row r="546" spans="8:9" ht="13.2">
      <c r="H546" s="9"/>
      <c r="I546" s="9"/>
    </row>
    <row r="547" spans="8:9" ht="13.2">
      <c r="H547" s="9"/>
      <c r="I547" s="9"/>
    </row>
    <row r="548" spans="8:9" ht="13.2">
      <c r="H548" s="9"/>
      <c r="I548" s="9"/>
    </row>
    <row r="549" spans="8:9" ht="13.2">
      <c r="H549" s="9"/>
      <c r="I549" s="9"/>
    </row>
    <row r="550" spans="8:9" ht="13.2">
      <c r="H550" s="9"/>
      <c r="I550" s="9"/>
    </row>
    <row r="551" spans="8:9" ht="13.2">
      <c r="H551" s="9"/>
      <c r="I551" s="9"/>
    </row>
    <row r="552" spans="8:9" ht="13.2">
      <c r="H552" s="9"/>
      <c r="I552" s="9"/>
    </row>
    <row r="553" spans="8:9" ht="13.2">
      <c r="H553" s="9"/>
      <c r="I553" s="9"/>
    </row>
    <row r="554" spans="8:9" ht="13.2">
      <c r="H554" s="9"/>
      <c r="I554" s="9"/>
    </row>
    <row r="555" spans="8:9" ht="13.2">
      <c r="H555" s="9"/>
      <c r="I555" s="9"/>
    </row>
    <row r="556" spans="8:9" ht="13.2">
      <c r="H556" s="9"/>
      <c r="I556" s="9"/>
    </row>
    <row r="557" spans="8:9" ht="13.2">
      <c r="H557" s="9"/>
      <c r="I557" s="9"/>
    </row>
    <row r="558" spans="8:9" ht="13.2">
      <c r="H558" s="9"/>
      <c r="I558" s="9"/>
    </row>
    <row r="559" spans="8:9" ht="13.2">
      <c r="H559" s="9"/>
      <c r="I559" s="9"/>
    </row>
    <row r="560" spans="8:9" ht="13.2">
      <c r="H560" s="9"/>
      <c r="I560" s="9"/>
    </row>
    <row r="561" spans="8:9" ht="13.2">
      <c r="H561" s="9"/>
      <c r="I561" s="9"/>
    </row>
    <row r="562" spans="8:9" ht="13.2">
      <c r="H562" s="9"/>
      <c r="I562" s="9"/>
    </row>
    <row r="563" spans="8:9" ht="13.2">
      <c r="H563" s="9"/>
      <c r="I563" s="9"/>
    </row>
    <row r="564" spans="8:9" ht="13.2">
      <c r="H564" s="9"/>
      <c r="I564" s="9"/>
    </row>
    <row r="565" spans="8:9" ht="13.2">
      <c r="H565" s="9"/>
      <c r="I565" s="9"/>
    </row>
    <row r="566" spans="8:9" ht="13.2">
      <c r="H566" s="9"/>
      <c r="I566" s="9"/>
    </row>
    <row r="567" spans="8:9" ht="13.2">
      <c r="H567" s="9"/>
      <c r="I567" s="9"/>
    </row>
    <row r="568" spans="8:9" ht="13.2">
      <c r="H568" s="9"/>
      <c r="I568" s="9"/>
    </row>
    <row r="569" spans="8:9" ht="13.2">
      <c r="H569" s="9"/>
      <c r="I569" s="9"/>
    </row>
    <row r="570" spans="8:9" ht="13.2">
      <c r="H570" s="9"/>
      <c r="I570" s="9"/>
    </row>
    <row r="571" spans="8:9" ht="13.2">
      <c r="H571" s="9"/>
      <c r="I571" s="9"/>
    </row>
    <row r="572" spans="8:9" ht="13.2">
      <c r="H572" s="9"/>
      <c r="I572" s="9"/>
    </row>
    <row r="573" spans="8:9" ht="13.2">
      <c r="H573" s="9"/>
      <c r="I573" s="9"/>
    </row>
    <row r="574" spans="8:9" ht="13.2">
      <c r="H574" s="9"/>
      <c r="I574" s="9"/>
    </row>
    <row r="575" spans="8:9" ht="13.2">
      <c r="H575" s="9"/>
      <c r="I575" s="9"/>
    </row>
    <row r="576" spans="8:9" ht="13.2">
      <c r="H576" s="9"/>
      <c r="I576" s="9"/>
    </row>
    <row r="577" spans="8:9" ht="13.2">
      <c r="H577" s="9"/>
      <c r="I577" s="9"/>
    </row>
    <row r="578" spans="8:9" ht="13.2">
      <c r="H578" s="9"/>
      <c r="I578" s="9"/>
    </row>
    <row r="579" spans="8:9" ht="13.2">
      <c r="H579" s="9"/>
      <c r="I579" s="9"/>
    </row>
    <row r="580" spans="8:9" ht="13.2">
      <c r="H580" s="9"/>
      <c r="I580" s="9"/>
    </row>
    <row r="581" spans="8:9" ht="13.2">
      <c r="H581" s="9"/>
      <c r="I581" s="9"/>
    </row>
    <row r="582" spans="8:9" ht="13.2">
      <c r="H582" s="9"/>
      <c r="I582" s="9"/>
    </row>
    <row r="583" spans="8:9" ht="13.2">
      <c r="H583" s="9"/>
      <c r="I583" s="9"/>
    </row>
    <row r="584" spans="8:9" ht="13.2">
      <c r="H584" s="9"/>
      <c r="I584" s="9"/>
    </row>
    <row r="585" spans="8:9" ht="13.2">
      <c r="H585" s="9"/>
      <c r="I585" s="9"/>
    </row>
    <row r="586" spans="8:9" ht="13.2">
      <c r="H586" s="9"/>
      <c r="I586" s="9"/>
    </row>
    <row r="587" spans="8:9" ht="13.2">
      <c r="H587" s="9"/>
      <c r="I587" s="9"/>
    </row>
    <row r="588" spans="8:9" ht="13.2">
      <c r="H588" s="9"/>
      <c r="I588" s="9"/>
    </row>
    <row r="589" spans="8:9" ht="13.2">
      <c r="H589" s="9"/>
      <c r="I589" s="9"/>
    </row>
    <row r="590" spans="8:9" ht="13.2">
      <c r="H590" s="9"/>
      <c r="I590" s="9"/>
    </row>
    <row r="591" spans="8:9" ht="13.2">
      <c r="H591" s="9"/>
      <c r="I591" s="9"/>
    </row>
    <row r="592" spans="8:9" ht="13.2">
      <c r="H592" s="9"/>
      <c r="I592" s="9"/>
    </row>
    <row r="593" spans="8:9" ht="13.2">
      <c r="H593" s="9"/>
      <c r="I593" s="9"/>
    </row>
    <row r="594" spans="8:9" ht="13.2">
      <c r="H594" s="9"/>
      <c r="I594" s="9"/>
    </row>
    <row r="595" spans="8:9" ht="13.2">
      <c r="H595" s="9"/>
      <c r="I595" s="9"/>
    </row>
    <row r="596" spans="8:9" ht="13.2">
      <c r="H596" s="9"/>
      <c r="I596" s="9"/>
    </row>
    <row r="597" spans="8:9" ht="13.2">
      <c r="H597" s="9"/>
      <c r="I597" s="9"/>
    </row>
    <row r="598" spans="8:9" ht="13.2">
      <c r="H598" s="9"/>
      <c r="I598" s="9"/>
    </row>
    <row r="599" spans="8:9" ht="13.2">
      <c r="H599" s="9"/>
      <c r="I599" s="9"/>
    </row>
    <row r="600" spans="8:9" ht="13.2">
      <c r="H600" s="9"/>
      <c r="I600" s="9"/>
    </row>
    <row r="601" spans="8:9" ht="13.2">
      <c r="H601" s="9"/>
      <c r="I601" s="9"/>
    </row>
    <row r="602" spans="8:9" ht="13.2">
      <c r="H602" s="9"/>
      <c r="I602" s="9"/>
    </row>
    <row r="603" spans="8:9" ht="13.2">
      <c r="H603" s="9"/>
      <c r="I603" s="9"/>
    </row>
    <row r="604" spans="8:9" ht="13.2">
      <c r="H604" s="9"/>
      <c r="I604" s="9"/>
    </row>
    <row r="605" spans="8:9" ht="13.2">
      <c r="H605" s="9"/>
      <c r="I605" s="9"/>
    </row>
    <row r="606" spans="8:9" ht="13.2">
      <c r="H606" s="9"/>
      <c r="I606" s="9"/>
    </row>
    <row r="607" spans="8:9" ht="13.2">
      <c r="H607" s="9"/>
      <c r="I607" s="9"/>
    </row>
    <row r="608" spans="8:9" ht="13.2">
      <c r="H608" s="9"/>
      <c r="I608" s="9"/>
    </row>
    <row r="609" spans="8:9" ht="13.2">
      <c r="H609" s="9"/>
      <c r="I609" s="9"/>
    </row>
    <row r="610" spans="8:9" ht="13.2">
      <c r="H610" s="9"/>
      <c r="I610" s="9"/>
    </row>
    <row r="611" spans="8:9" ht="13.2">
      <c r="H611" s="9"/>
      <c r="I611" s="9"/>
    </row>
    <row r="612" spans="8:9" ht="13.2">
      <c r="H612" s="9"/>
      <c r="I612" s="9"/>
    </row>
    <row r="613" spans="8:9" ht="13.2">
      <c r="H613" s="9"/>
      <c r="I613" s="9"/>
    </row>
    <row r="614" spans="8:9" ht="13.2">
      <c r="H614" s="9"/>
      <c r="I614" s="9"/>
    </row>
    <row r="615" spans="8:9" ht="13.2">
      <c r="H615" s="9"/>
      <c r="I615" s="9"/>
    </row>
    <row r="616" spans="8:9" ht="13.2">
      <c r="H616" s="9"/>
      <c r="I616" s="9"/>
    </row>
    <row r="617" spans="8:9" ht="13.2">
      <c r="H617" s="9"/>
      <c r="I617" s="9"/>
    </row>
    <row r="618" spans="8:9" ht="13.2">
      <c r="H618" s="9"/>
      <c r="I618" s="9"/>
    </row>
    <row r="619" spans="8:9" ht="13.2">
      <c r="H619" s="9"/>
      <c r="I619" s="9"/>
    </row>
    <row r="620" spans="8:9" ht="13.2">
      <c r="H620" s="9"/>
      <c r="I620" s="9"/>
    </row>
    <row r="621" spans="8:9" ht="13.2">
      <c r="H621" s="9"/>
      <c r="I621" s="9"/>
    </row>
    <row r="622" spans="8:9" ht="13.2">
      <c r="H622" s="9"/>
      <c r="I622" s="9"/>
    </row>
    <row r="623" spans="8:9" ht="13.2">
      <c r="H623" s="9"/>
      <c r="I623" s="9"/>
    </row>
    <row r="624" spans="8:9" ht="13.2">
      <c r="H624" s="9"/>
      <c r="I624" s="9"/>
    </row>
    <row r="625" spans="8:9" ht="13.2">
      <c r="H625" s="9"/>
      <c r="I625" s="9"/>
    </row>
    <row r="626" spans="8:9" ht="13.2">
      <c r="H626" s="9"/>
      <c r="I626" s="9"/>
    </row>
    <row r="627" spans="8:9" ht="13.2">
      <c r="H627" s="9"/>
      <c r="I627" s="9"/>
    </row>
    <row r="628" spans="8:9" ht="13.2">
      <c r="H628" s="9"/>
      <c r="I628" s="9"/>
    </row>
    <row r="629" spans="8:9" ht="13.2">
      <c r="H629" s="9"/>
      <c r="I629" s="9"/>
    </row>
    <row r="630" spans="8:9" ht="13.2">
      <c r="H630" s="9"/>
      <c r="I630" s="9"/>
    </row>
    <row r="631" spans="8:9" ht="13.2">
      <c r="H631" s="9"/>
      <c r="I631" s="9"/>
    </row>
    <row r="632" spans="8:9" ht="13.2">
      <c r="H632" s="9"/>
      <c r="I632" s="9"/>
    </row>
    <row r="633" spans="8:9" ht="13.2">
      <c r="H633" s="9"/>
      <c r="I633" s="9"/>
    </row>
    <row r="634" spans="8:9" ht="13.2">
      <c r="H634" s="9"/>
      <c r="I634" s="9"/>
    </row>
    <row r="635" spans="8:9" ht="13.2">
      <c r="H635" s="9"/>
      <c r="I635" s="9"/>
    </row>
    <row r="636" spans="8:9" ht="13.2">
      <c r="H636" s="9"/>
      <c r="I636" s="9"/>
    </row>
    <row r="637" spans="8:9" ht="13.2">
      <c r="H637" s="9"/>
      <c r="I637" s="9"/>
    </row>
    <row r="638" spans="8:9" ht="13.2">
      <c r="H638" s="9"/>
      <c r="I638" s="9"/>
    </row>
    <row r="639" spans="8:9" ht="13.2">
      <c r="H639" s="9"/>
      <c r="I639" s="9"/>
    </row>
    <row r="640" spans="8:9" ht="13.2">
      <c r="H640" s="9"/>
      <c r="I640" s="9"/>
    </row>
    <row r="641" spans="8:9" ht="13.2">
      <c r="H641" s="9"/>
      <c r="I641" s="9"/>
    </row>
    <row r="642" spans="8:9" ht="13.2">
      <c r="H642" s="9"/>
      <c r="I642" s="9"/>
    </row>
    <row r="643" spans="8:9" ht="13.2">
      <c r="H643" s="9"/>
      <c r="I643" s="9"/>
    </row>
    <row r="644" spans="8:9" ht="13.2">
      <c r="H644" s="9"/>
      <c r="I644" s="9"/>
    </row>
    <row r="645" spans="8:9" ht="13.2">
      <c r="H645" s="9"/>
      <c r="I645" s="9"/>
    </row>
    <row r="646" spans="8:9" ht="13.2">
      <c r="H646" s="9"/>
      <c r="I646" s="9"/>
    </row>
    <row r="647" spans="8:9" ht="13.2">
      <c r="H647" s="9"/>
      <c r="I647" s="9"/>
    </row>
    <row r="648" spans="8:9" ht="13.2">
      <c r="H648" s="9"/>
      <c r="I648" s="9"/>
    </row>
    <row r="649" spans="8:9" ht="13.2">
      <c r="H649" s="9"/>
      <c r="I649" s="9"/>
    </row>
    <row r="650" spans="8:9" ht="13.2">
      <c r="H650" s="9"/>
      <c r="I650" s="9"/>
    </row>
    <row r="651" spans="8:9" ht="13.2">
      <c r="H651" s="9"/>
      <c r="I651" s="9"/>
    </row>
    <row r="652" spans="8:9" ht="13.2">
      <c r="H652" s="9"/>
      <c r="I652" s="9"/>
    </row>
    <row r="653" spans="8:9" ht="13.2">
      <c r="H653" s="9"/>
      <c r="I653" s="9"/>
    </row>
    <row r="654" spans="8:9" ht="13.2">
      <c r="H654" s="9"/>
      <c r="I654" s="9"/>
    </row>
    <row r="655" spans="8:9" ht="13.2">
      <c r="H655" s="9"/>
      <c r="I655" s="9"/>
    </row>
    <row r="656" spans="8:9" ht="13.2">
      <c r="H656" s="9"/>
      <c r="I656" s="9"/>
    </row>
    <row r="657" spans="8:9" ht="13.2">
      <c r="H657" s="9"/>
      <c r="I657" s="9"/>
    </row>
    <row r="658" spans="8:9" ht="13.2">
      <c r="H658" s="9"/>
      <c r="I658" s="9"/>
    </row>
    <row r="659" spans="8:9" ht="13.2">
      <c r="H659" s="9"/>
      <c r="I659" s="9"/>
    </row>
    <row r="660" spans="8:9" ht="13.2">
      <c r="H660" s="9"/>
      <c r="I660" s="9"/>
    </row>
    <row r="661" spans="8:9" ht="13.2">
      <c r="H661" s="9"/>
      <c r="I661" s="9"/>
    </row>
    <row r="662" spans="8:9" ht="13.2">
      <c r="H662" s="9"/>
      <c r="I662" s="9"/>
    </row>
    <row r="663" spans="8:9" ht="13.2">
      <c r="H663" s="9"/>
      <c r="I663" s="9"/>
    </row>
    <row r="664" spans="8:9" ht="13.2">
      <c r="H664" s="9"/>
      <c r="I664" s="9"/>
    </row>
    <row r="665" spans="8:9" ht="13.2">
      <c r="H665" s="9"/>
      <c r="I665" s="9"/>
    </row>
    <row r="666" spans="8:9" ht="13.2">
      <c r="H666" s="9"/>
      <c r="I666" s="9"/>
    </row>
    <row r="667" spans="8:9" ht="13.2">
      <c r="H667" s="9"/>
      <c r="I667" s="9"/>
    </row>
    <row r="668" spans="8:9" ht="13.2">
      <c r="H668" s="9"/>
      <c r="I668" s="9"/>
    </row>
    <row r="669" spans="8:9" ht="13.2">
      <c r="H669" s="9"/>
      <c r="I669" s="9"/>
    </row>
    <row r="670" spans="8:9" ht="13.2">
      <c r="H670" s="9"/>
      <c r="I670" s="9"/>
    </row>
    <row r="671" spans="8:9" ht="13.2">
      <c r="H671" s="9"/>
      <c r="I671" s="9"/>
    </row>
    <row r="672" spans="8:9" ht="13.2">
      <c r="H672" s="9"/>
      <c r="I672" s="9"/>
    </row>
    <row r="673" spans="8:9" ht="13.2">
      <c r="H673" s="9"/>
      <c r="I673" s="9"/>
    </row>
    <row r="674" spans="8:9" ht="13.2">
      <c r="H674" s="9"/>
      <c r="I674" s="9"/>
    </row>
    <row r="675" spans="8:9" ht="13.2">
      <c r="H675" s="9"/>
      <c r="I675" s="9"/>
    </row>
    <row r="676" spans="8:9" ht="13.2">
      <c r="H676" s="9"/>
      <c r="I676" s="9"/>
    </row>
    <row r="677" spans="8:9" ht="13.2">
      <c r="H677" s="9"/>
      <c r="I677" s="9"/>
    </row>
    <row r="678" spans="8:9" ht="13.2">
      <c r="H678" s="9"/>
      <c r="I678" s="9"/>
    </row>
    <row r="679" spans="8:9" ht="13.2">
      <c r="H679" s="9"/>
      <c r="I679" s="9"/>
    </row>
    <row r="680" spans="8:9" ht="13.2">
      <c r="H680" s="9"/>
      <c r="I680" s="9"/>
    </row>
    <row r="681" spans="8:9" ht="13.2">
      <c r="H681" s="9"/>
      <c r="I681" s="9"/>
    </row>
    <row r="682" spans="8:9" ht="13.2">
      <c r="H682" s="9"/>
      <c r="I682" s="9"/>
    </row>
    <row r="683" spans="8:9" ht="13.2">
      <c r="H683" s="9"/>
      <c r="I683" s="9"/>
    </row>
    <row r="684" spans="8:9" ht="13.2">
      <c r="H684" s="9"/>
      <c r="I684" s="9"/>
    </row>
    <row r="685" spans="8:9" ht="13.2">
      <c r="H685" s="9"/>
      <c r="I685" s="9"/>
    </row>
    <row r="686" spans="8:9" ht="13.2">
      <c r="H686" s="9"/>
      <c r="I686" s="9"/>
    </row>
    <row r="687" spans="8:9" ht="13.2">
      <c r="H687" s="9"/>
      <c r="I687" s="9"/>
    </row>
    <row r="688" spans="8:9" ht="13.2">
      <c r="H688" s="9"/>
      <c r="I688" s="9"/>
    </row>
    <row r="689" spans="8:9" ht="13.2">
      <c r="H689" s="9"/>
      <c r="I689" s="9"/>
    </row>
    <row r="690" spans="8:9" ht="13.2">
      <c r="H690" s="9"/>
      <c r="I690" s="9"/>
    </row>
    <row r="691" spans="8:9" ht="13.2">
      <c r="H691" s="9"/>
      <c r="I691" s="9"/>
    </row>
    <row r="692" spans="8:9" ht="13.2">
      <c r="H692" s="9"/>
      <c r="I692" s="9"/>
    </row>
    <row r="693" spans="8:9" ht="13.2">
      <c r="H693" s="9"/>
      <c r="I693" s="9"/>
    </row>
    <row r="694" spans="8:9" ht="13.2">
      <c r="H694" s="9"/>
      <c r="I694" s="9"/>
    </row>
    <row r="695" spans="8:9" ht="13.2">
      <c r="H695" s="9"/>
      <c r="I695" s="9"/>
    </row>
    <row r="696" spans="8:9" ht="13.2">
      <c r="H696" s="9"/>
      <c r="I696" s="9"/>
    </row>
    <row r="697" spans="8:9" ht="13.2">
      <c r="H697" s="9"/>
      <c r="I697" s="9"/>
    </row>
    <row r="698" spans="8:9" ht="13.2">
      <c r="H698" s="9"/>
      <c r="I698" s="9"/>
    </row>
    <row r="699" spans="8:9" ht="13.2">
      <c r="H699" s="9"/>
      <c r="I699" s="9"/>
    </row>
    <row r="700" spans="8:9" ht="13.2">
      <c r="H700" s="9"/>
      <c r="I700" s="9"/>
    </row>
    <row r="701" spans="8:9" ht="13.2">
      <c r="H701" s="9"/>
      <c r="I701" s="9"/>
    </row>
    <row r="702" spans="8:9" ht="13.2">
      <c r="H702" s="9"/>
      <c r="I702" s="9"/>
    </row>
    <row r="703" spans="8:9" ht="13.2">
      <c r="H703" s="9"/>
      <c r="I703" s="9"/>
    </row>
    <row r="704" spans="8:9" ht="13.2">
      <c r="H704" s="9"/>
      <c r="I704" s="9"/>
    </row>
    <row r="705" spans="8:9" ht="13.2">
      <c r="H705" s="9"/>
      <c r="I705" s="9"/>
    </row>
    <row r="706" spans="8:9" ht="13.2">
      <c r="H706" s="9"/>
      <c r="I706" s="9"/>
    </row>
    <row r="707" spans="8:9" ht="13.2">
      <c r="H707" s="9"/>
      <c r="I707" s="9"/>
    </row>
    <row r="708" spans="8:9" ht="13.2">
      <c r="H708" s="9"/>
      <c r="I708" s="9"/>
    </row>
    <row r="709" spans="8:9" ht="13.2">
      <c r="H709" s="9"/>
      <c r="I709" s="9"/>
    </row>
    <row r="710" spans="8:9" ht="13.2">
      <c r="H710" s="9"/>
      <c r="I710" s="9"/>
    </row>
    <row r="711" spans="8:9" ht="13.2">
      <c r="H711" s="9"/>
      <c r="I711" s="9"/>
    </row>
    <row r="712" spans="8:9" ht="13.2">
      <c r="H712" s="9"/>
      <c r="I712" s="9"/>
    </row>
    <row r="713" spans="8:9" ht="13.2">
      <c r="H713" s="9"/>
      <c r="I713" s="9"/>
    </row>
    <row r="714" spans="8:9" ht="13.2">
      <c r="H714" s="9"/>
      <c r="I714" s="9"/>
    </row>
    <row r="715" spans="8:9" ht="13.2">
      <c r="H715" s="9"/>
      <c r="I715" s="9"/>
    </row>
    <row r="716" spans="8:9" ht="13.2">
      <c r="H716" s="9"/>
      <c r="I716" s="9"/>
    </row>
    <row r="717" spans="8:9" ht="13.2">
      <c r="H717" s="9"/>
      <c r="I717" s="9"/>
    </row>
    <row r="718" spans="8:9" ht="13.2">
      <c r="H718" s="9"/>
      <c r="I718" s="9"/>
    </row>
    <row r="719" spans="8:9" ht="13.2">
      <c r="H719" s="9"/>
      <c r="I719" s="9"/>
    </row>
    <row r="720" spans="8:9" ht="13.2">
      <c r="H720" s="9"/>
      <c r="I720" s="9"/>
    </row>
    <row r="721" spans="8:9" ht="13.2">
      <c r="H721" s="9"/>
      <c r="I721" s="9"/>
    </row>
    <row r="722" spans="8:9" ht="13.2">
      <c r="H722" s="9"/>
      <c r="I722" s="9"/>
    </row>
    <row r="723" spans="8:9" ht="13.2">
      <c r="H723" s="9"/>
      <c r="I723" s="9"/>
    </row>
    <row r="724" spans="8:9" ht="13.2">
      <c r="H724" s="9"/>
      <c r="I724" s="9"/>
    </row>
    <row r="725" spans="8:9" ht="13.2">
      <c r="H725" s="9"/>
      <c r="I725" s="9"/>
    </row>
    <row r="726" spans="8:9" ht="13.2">
      <c r="H726" s="9"/>
      <c r="I726" s="9"/>
    </row>
    <row r="727" spans="8:9" ht="13.2">
      <c r="H727" s="9"/>
      <c r="I727" s="9"/>
    </row>
    <row r="728" spans="8:9" ht="13.2">
      <c r="H728" s="9"/>
      <c r="I728" s="9"/>
    </row>
    <row r="729" spans="8:9" ht="13.2">
      <c r="H729" s="9"/>
      <c r="I729" s="9"/>
    </row>
    <row r="730" spans="8:9" ht="13.2">
      <c r="H730" s="9"/>
      <c r="I730" s="9"/>
    </row>
    <row r="731" spans="8:9" ht="13.2">
      <c r="H731" s="9"/>
      <c r="I731" s="9"/>
    </row>
    <row r="732" spans="8:9" ht="13.2">
      <c r="H732" s="9"/>
      <c r="I732" s="9"/>
    </row>
    <row r="733" spans="8:9" ht="13.2">
      <c r="H733" s="9"/>
      <c r="I733" s="9"/>
    </row>
    <row r="734" spans="8:9" ht="13.2">
      <c r="H734" s="9"/>
      <c r="I734" s="9"/>
    </row>
    <row r="735" spans="8:9" ht="13.2">
      <c r="H735" s="9"/>
      <c r="I735" s="9"/>
    </row>
    <row r="736" spans="8:9" ht="13.2">
      <c r="H736" s="9"/>
      <c r="I736" s="9"/>
    </row>
    <row r="737" spans="8:9" ht="13.2">
      <c r="H737" s="9"/>
      <c r="I737" s="9"/>
    </row>
    <row r="738" spans="8:9" ht="13.2">
      <c r="H738" s="9"/>
      <c r="I738" s="9"/>
    </row>
    <row r="739" spans="8:9" ht="13.2">
      <c r="H739" s="9"/>
      <c r="I739" s="9"/>
    </row>
    <row r="740" spans="8:9" ht="13.2">
      <c r="H740" s="9"/>
      <c r="I740" s="9"/>
    </row>
    <row r="741" spans="8:9" ht="13.2">
      <c r="H741" s="9"/>
      <c r="I741" s="9"/>
    </row>
    <row r="742" spans="8:9" ht="13.2">
      <c r="H742" s="9"/>
      <c r="I742" s="9"/>
    </row>
    <row r="743" spans="8:9" ht="13.2">
      <c r="H743" s="9"/>
      <c r="I743" s="9"/>
    </row>
    <row r="744" spans="8:9" ht="13.2">
      <c r="H744" s="9"/>
      <c r="I744" s="9"/>
    </row>
    <row r="745" spans="8:9" ht="13.2">
      <c r="H745" s="9"/>
      <c r="I745" s="9"/>
    </row>
    <row r="746" spans="8:9" ht="13.2">
      <c r="H746" s="9"/>
      <c r="I746" s="9"/>
    </row>
    <row r="747" spans="8:9" ht="13.2">
      <c r="H747" s="9"/>
      <c r="I747" s="9"/>
    </row>
    <row r="748" spans="8:9" ht="13.2">
      <c r="H748" s="9"/>
      <c r="I748" s="9"/>
    </row>
    <row r="749" spans="8:9" ht="13.2">
      <c r="H749" s="9"/>
      <c r="I749" s="9"/>
    </row>
    <row r="750" spans="8:9" ht="13.2">
      <c r="H750" s="9"/>
      <c r="I750" s="9"/>
    </row>
    <row r="751" spans="8:9" ht="13.2">
      <c r="H751" s="9"/>
      <c r="I751" s="9"/>
    </row>
    <row r="752" spans="8:9" ht="13.2">
      <c r="H752" s="9"/>
      <c r="I752" s="9"/>
    </row>
    <row r="753" spans="8:9" ht="13.2">
      <c r="H753" s="9"/>
      <c r="I753" s="9"/>
    </row>
    <row r="754" spans="8:9" ht="13.2">
      <c r="H754" s="9"/>
      <c r="I754" s="9"/>
    </row>
    <row r="755" spans="8:9" ht="13.2">
      <c r="H755" s="9"/>
      <c r="I755" s="9"/>
    </row>
    <row r="756" spans="8:9" ht="13.2">
      <c r="H756" s="9"/>
      <c r="I756" s="9"/>
    </row>
    <row r="757" spans="8:9" ht="13.2">
      <c r="H757" s="9"/>
      <c r="I757" s="9"/>
    </row>
    <row r="758" spans="8:9" ht="13.2">
      <c r="H758" s="9"/>
      <c r="I758" s="9"/>
    </row>
    <row r="759" spans="8:9" ht="13.2">
      <c r="H759" s="9"/>
      <c r="I759" s="9"/>
    </row>
    <row r="760" spans="8:9" ht="13.2">
      <c r="H760" s="9"/>
      <c r="I760" s="9"/>
    </row>
    <row r="761" spans="8:9" ht="13.2">
      <c r="H761" s="9"/>
      <c r="I761" s="9"/>
    </row>
    <row r="762" spans="8:9" ht="13.2">
      <c r="H762" s="9"/>
      <c r="I762" s="9"/>
    </row>
    <row r="763" spans="8:9" ht="13.2">
      <c r="H763" s="9"/>
      <c r="I763" s="9"/>
    </row>
    <row r="764" spans="8:9" ht="13.2">
      <c r="H764" s="9"/>
      <c r="I764" s="9"/>
    </row>
    <row r="765" spans="8:9" ht="13.2">
      <c r="H765" s="9"/>
      <c r="I765" s="9"/>
    </row>
    <row r="766" spans="8:9" ht="13.2">
      <c r="H766" s="9"/>
      <c r="I766" s="9"/>
    </row>
    <row r="767" spans="8:9" ht="13.2">
      <c r="H767" s="9"/>
      <c r="I767" s="9"/>
    </row>
    <row r="768" spans="8:9" ht="13.2">
      <c r="H768" s="9"/>
      <c r="I768" s="9"/>
    </row>
    <row r="769" spans="8:9" ht="13.2">
      <c r="H769" s="9"/>
      <c r="I769" s="9"/>
    </row>
    <row r="770" spans="8:9" ht="13.2">
      <c r="H770" s="9"/>
      <c r="I770" s="9"/>
    </row>
    <row r="771" spans="8:9" ht="13.2">
      <c r="H771" s="9"/>
      <c r="I771" s="9"/>
    </row>
    <row r="772" spans="8:9" ht="13.2">
      <c r="H772" s="9"/>
      <c r="I772" s="9"/>
    </row>
    <row r="773" spans="8:9" ht="13.2">
      <c r="H773" s="9"/>
      <c r="I773" s="9"/>
    </row>
    <row r="774" spans="8:9" ht="13.2">
      <c r="H774" s="9"/>
      <c r="I774" s="9"/>
    </row>
    <row r="775" spans="8:9" ht="13.2">
      <c r="H775" s="9"/>
      <c r="I775" s="9"/>
    </row>
    <row r="776" spans="8:9" ht="13.2">
      <c r="H776" s="9"/>
      <c r="I776" s="9"/>
    </row>
    <row r="777" spans="8:9" ht="13.2">
      <c r="H777" s="9"/>
      <c r="I777" s="9"/>
    </row>
    <row r="778" spans="8:9" ht="13.2">
      <c r="H778" s="9"/>
      <c r="I778" s="9"/>
    </row>
    <row r="779" spans="8:9" ht="13.2">
      <c r="H779" s="9"/>
      <c r="I779" s="9"/>
    </row>
    <row r="780" spans="8:9" ht="13.2">
      <c r="H780" s="9"/>
      <c r="I780" s="9"/>
    </row>
    <row r="781" spans="8:9" ht="13.2">
      <c r="H781" s="9"/>
      <c r="I781" s="9"/>
    </row>
    <row r="782" spans="8:9" ht="13.2">
      <c r="H782" s="9"/>
      <c r="I782" s="9"/>
    </row>
    <row r="783" spans="8:9" ht="13.2">
      <c r="H783" s="9"/>
      <c r="I783" s="9"/>
    </row>
    <row r="784" spans="8:9" ht="13.2">
      <c r="H784" s="9"/>
      <c r="I784" s="9"/>
    </row>
    <row r="785" spans="8:9" ht="13.2">
      <c r="H785" s="9"/>
      <c r="I785" s="9"/>
    </row>
    <row r="786" spans="8:9" ht="13.2">
      <c r="H786" s="9"/>
      <c r="I786" s="9"/>
    </row>
    <row r="787" spans="8:9" ht="13.2">
      <c r="H787" s="9"/>
      <c r="I787" s="9"/>
    </row>
    <row r="788" spans="8:9" ht="13.2">
      <c r="H788" s="9"/>
      <c r="I788" s="9"/>
    </row>
    <row r="789" spans="8:9" ht="13.2">
      <c r="H789" s="9"/>
      <c r="I789" s="9"/>
    </row>
    <row r="790" spans="8:9" ht="13.2">
      <c r="H790" s="9"/>
      <c r="I790" s="9"/>
    </row>
    <row r="791" spans="8:9" ht="13.2">
      <c r="H791" s="9"/>
      <c r="I791" s="9"/>
    </row>
    <row r="792" spans="8:9" ht="13.2">
      <c r="H792" s="9"/>
      <c r="I792" s="9"/>
    </row>
    <row r="793" spans="8:9" ht="13.2">
      <c r="H793" s="9"/>
      <c r="I793" s="9"/>
    </row>
    <row r="794" spans="8:9" ht="13.2">
      <c r="H794" s="9"/>
      <c r="I794" s="9"/>
    </row>
    <row r="795" spans="8:9" ht="13.2">
      <c r="H795" s="9"/>
      <c r="I795" s="9"/>
    </row>
    <row r="796" spans="8:9" ht="13.2">
      <c r="H796" s="9"/>
      <c r="I796" s="9"/>
    </row>
    <row r="797" spans="8:9" ht="13.2">
      <c r="H797" s="9"/>
      <c r="I797" s="9"/>
    </row>
    <row r="798" spans="8:9" ht="13.2">
      <c r="H798" s="9"/>
      <c r="I798" s="9"/>
    </row>
    <row r="799" spans="8:9" ht="13.2">
      <c r="H799" s="9"/>
      <c r="I799" s="9"/>
    </row>
    <row r="800" spans="8:9" ht="13.2">
      <c r="H800" s="9"/>
      <c r="I800" s="9"/>
    </row>
    <row r="801" spans="8:9" ht="13.2">
      <c r="H801" s="9"/>
      <c r="I801" s="9"/>
    </row>
    <row r="802" spans="8:9" ht="13.2">
      <c r="H802" s="9"/>
      <c r="I802" s="9"/>
    </row>
    <row r="803" spans="8:9" ht="13.2">
      <c r="H803" s="9"/>
      <c r="I803" s="9"/>
    </row>
    <row r="804" spans="8:9" ht="13.2">
      <c r="H804" s="9"/>
      <c r="I804" s="9"/>
    </row>
    <row r="805" spans="8:9" ht="13.2">
      <c r="H805" s="9"/>
      <c r="I805" s="9"/>
    </row>
    <row r="806" spans="8:9" ht="13.2">
      <c r="H806" s="9"/>
      <c r="I806" s="9"/>
    </row>
    <row r="807" spans="8:9" ht="13.2">
      <c r="H807" s="9"/>
      <c r="I807" s="9"/>
    </row>
    <row r="808" spans="8:9" ht="13.2">
      <c r="H808" s="9"/>
      <c r="I808" s="9"/>
    </row>
    <row r="809" spans="8:9" ht="13.2">
      <c r="H809" s="9"/>
      <c r="I809" s="9"/>
    </row>
    <row r="810" spans="8:9" ht="13.2">
      <c r="H810" s="9"/>
      <c r="I810" s="9"/>
    </row>
    <row r="811" spans="8:9" ht="13.2">
      <c r="H811" s="9"/>
      <c r="I811" s="9"/>
    </row>
    <row r="812" spans="8:9" ht="13.2">
      <c r="H812" s="9"/>
      <c r="I812" s="9"/>
    </row>
    <row r="813" spans="8:9" ht="13.2">
      <c r="H813" s="9"/>
      <c r="I813" s="9"/>
    </row>
    <row r="814" spans="8:9" ht="13.2">
      <c r="H814" s="9"/>
      <c r="I814" s="9"/>
    </row>
    <row r="815" spans="8:9" ht="13.2">
      <c r="H815" s="9"/>
      <c r="I815" s="9"/>
    </row>
    <row r="816" spans="8:9" ht="13.2">
      <c r="H816" s="9"/>
      <c r="I816" s="9"/>
    </row>
    <row r="817" spans="8:9" ht="13.2">
      <c r="H817" s="9"/>
      <c r="I817" s="9"/>
    </row>
    <row r="818" spans="8:9" ht="13.2">
      <c r="H818" s="9"/>
      <c r="I818" s="9"/>
    </row>
    <row r="819" spans="8:9" ht="13.2">
      <c r="H819" s="9"/>
      <c r="I819" s="9"/>
    </row>
    <row r="820" spans="8:9" ht="13.2">
      <c r="H820" s="9"/>
      <c r="I820" s="9"/>
    </row>
    <row r="821" spans="8:9" ht="13.2">
      <c r="H821" s="9"/>
      <c r="I821" s="9"/>
    </row>
    <row r="822" spans="8:9" ht="13.2">
      <c r="H822" s="9"/>
      <c r="I822" s="9"/>
    </row>
    <row r="823" spans="8:9" ht="13.2">
      <c r="H823" s="9"/>
      <c r="I823" s="9"/>
    </row>
    <row r="824" spans="8:9" ht="13.2">
      <c r="H824" s="9"/>
      <c r="I824" s="9"/>
    </row>
    <row r="825" spans="8:9" ht="13.2">
      <c r="H825" s="9"/>
      <c r="I825" s="9"/>
    </row>
    <row r="826" spans="8:9" ht="13.2">
      <c r="H826" s="9"/>
      <c r="I826" s="9"/>
    </row>
    <row r="827" spans="8:9" ht="13.2">
      <c r="H827" s="9"/>
      <c r="I827" s="9"/>
    </row>
    <row r="828" spans="8:9" ht="13.2">
      <c r="H828" s="9"/>
      <c r="I828" s="9"/>
    </row>
    <row r="829" spans="8:9" ht="13.2">
      <c r="H829" s="9"/>
      <c r="I829" s="9"/>
    </row>
    <row r="830" spans="8:9" ht="13.2">
      <c r="H830" s="9"/>
      <c r="I830" s="9"/>
    </row>
    <row r="831" spans="8:9" ht="13.2">
      <c r="H831" s="9"/>
      <c r="I831" s="9"/>
    </row>
    <row r="832" spans="8:9" ht="13.2">
      <c r="H832" s="9"/>
      <c r="I832" s="9"/>
    </row>
    <row r="833" spans="8:9" ht="13.2">
      <c r="H833" s="9"/>
      <c r="I833" s="9"/>
    </row>
    <row r="834" spans="8:9" ht="13.2">
      <c r="H834" s="9"/>
      <c r="I834" s="9"/>
    </row>
    <row r="835" spans="8:9" ht="13.2">
      <c r="H835" s="9"/>
      <c r="I835" s="9"/>
    </row>
    <row r="836" spans="8:9" ht="13.2">
      <c r="H836" s="9"/>
      <c r="I836" s="9"/>
    </row>
    <row r="837" spans="8:9" ht="13.2">
      <c r="H837" s="9"/>
      <c r="I837" s="9"/>
    </row>
    <row r="838" spans="8:9" ht="13.2">
      <c r="H838" s="9"/>
      <c r="I838" s="9"/>
    </row>
    <row r="839" spans="8:9" ht="13.2">
      <c r="H839" s="9"/>
      <c r="I839" s="9"/>
    </row>
    <row r="840" spans="8:9" ht="13.2">
      <c r="H840" s="9"/>
      <c r="I840" s="9"/>
    </row>
    <row r="841" spans="8:9" ht="13.2">
      <c r="H841" s="9"/>
      <c r="I841" s="9"/>
    </row>
    <row r="842" spans="8:9" ht="13.2">
      <c r="H842" s="9"/>
      <c r="I842" s="9"/>
    </row>
    <row r="843" spans="8:9" ht="13.2">
      <c r="H843" s="9"/>
      <c r="I843" s="9"/>
    </row>
    <row r="844" spans="8:9" ht="13.2">
      <c r="H844" s="9"/>
      <c r="I844" s="9"/>
    </row>
    <row r="845" spans="8:9" ht="13.2">
      <c r="H845" s="9"/>
      <c r="I845" s="9"/>
    </row>
    <row r="846" spans="8:9" ht="13.2">
      <c r="H846" s="9"/>
      <c r="I846" s="9"/>
    </row>
    <row r="847" spans="8:9" ht="13.2">
      <c r="H847" s="9"/>
      <c r="I847" s="9"/>
    </row>
    <row r="848" spans="8:9" ht="13.2">
      <c r="H848" s="9"/>
      <c r="I848" s="9"/>
    </row>
    <row r="849" spans="8:9" ht="13.2">
      <c r="H849" s="9"/>
      <c r="I849" s="9"/>
    </row>
    <row r="850" spans="8:9" ht="13.2">
      <c r="H850" s="9"/>
      <c r="I850" s="9"/>
    </row>
    <row r="851" spans="8:9" ht="13.2">
      <c r="H851" s="9"/>
      <c r="I851" s="9"/>
    </row>
    <row r="852" spans="8:9" ht="13.2">
      <c r="H852" s="9"/>
      <c r="I852" s="9"/>
    </row>
    <row r="853" spans="8:9" ht="13.2">
      <c r="H853" s="9"/>
      <c r="I853" s="9"/>
    </row>
    <row r="854" spans="8:9" ht="13.2">
      <c r="H854" s="9"/>
      <c r="I854" s="9"/>
    </row>
    <row r="855" spans="8:9" ht="13.2">
      <c r="H855" s="9"/>
      <c r="I855" s="9"/>
    </row>
    <row r="856" spans="8:9" ht="13.2">
      <c r="H856" s="9"/>
      <c r="I856" s="9"/>
    </row>
    <row r="857" spans="8:9" ht="13.2">
      <c r="H857" s="9"/>
      <c r="I857" s="9"/>
    </row>
    <row r="858" spans="8:9" ht="13.2">
      <c r="H858" s="9"/>
      <c r="I858" s="9"/>
    </row>
    <row r="859" spans="8:9" ht="13.2">
      <c r="H859" s="9"/>
      <c r="I859" s="9"/>
    </row>
    <row r="860" spans="8:9" ht="13.2">
      <c r="H860" s="9"/>
      <c r="I860" s="9"/>
    </row>
    <row r="861" spans="8:9" ht="13.2">
      <c r="H861" s="9"/>
      <c r="I861" s="9"/>
    </row>
    <row r="862" spans="8:9" ht="13.2">
      <c r="H862" s="9"/>
      <c r="I862" s="9"/>
    </row>
    <row r="863" spans="8:9" ht="13.2">
      <c r="H863" s="9"/>
      <c r="I863" s="9"/>
    </row>
    <row r="864" spans="8:9" ht="13.2">
      <c r="H864" s="9"/>
      <c r="I864" s="9"/>
    </row>
    <row r="865" spans="8:9" ht="13.2">
      <c r="H865" s="9"/>
      <c r="I865" s="9"/>
    </row>
    <row r="866" spans="8:9" ht="13.2">
      <c r="H866" s="9"/>
      <c r="I866" s="9"/>
    </row>
    <row r="867" spans="8:9" ht="13.2">
      <c r="H867" s="9"/>
      <c r="I867" s="9"/>
    </row>
    <row r="868" spans="8:9" ht="13.2">
      <c r="H868" s="9"/>
      <c r="I868" s="9"/>
    </row>
    <row r="869" spans="8:9" ht="13.2">
      <c r="H869" s="9"/>
      <c r="I869" s="9"/>
    </row>
    <row r="870" spans="8:9" ht="13.2">
      <c r="H870" s="9"/>
      <c r="I870" s="9"/>
    </row>
    <row r="871" spans="8:9" ht="13.2">
      <c r="H871" s="9"/>
      <c r="I871" s="9"/>
    </row>
    <row r="872" spans="8:9" ht="13.2">
      <c r="H872" s="9"/>
      <c r="I872" s="9"/>
    </row>
    <row r="873" spans="8:9" ht="13.2">
      <c r="H873" s="9"/>
      <c r="I873" s="9"/>
    </row>
    <row r="874" spans="8:9" ht="13.2">
      <c r="H874" s="9"/>
      <c r="I874" s="9"/>
    </row>
    <row r="875" spans="8:9" ht="13.2">
      <c r="H875" s="9"/>
      <c r="I875" s="9"/>
    </row>
    <row r="876" spans="8:9" ht="13.2">
      <c r="H876" s="9"/>
      <c r="I876" s="9"/>
    </row>
    <row r="877" spans="8:9" ht="13.2">
      <c r="H877" s="9"/>
      <c r="I877" s="9"/>
    </row>
    <row r="878" spans="8:9" ht="13.2">
      <c r="H878" s="9"/>
      <c r="I878" s="9"/>
    </row>
    <row r="879" spans="8:9" ht="13.2">
      <c r="H879" s="9"/>
      <c r="I879" s="9"/>
    </row>
    <row r="880" spans="8:9" ht="13.2">
      <c r="H880" s="9"/>
      <c r="I880" s="9"/>
    </row>
    <row r="881" spans="8:9" ht="13.2">
      <c r="H881" s="9"/>
      <c r="I881" s="9"/>
    </row>
    <row r="882" spans="8:9" ht="13.2">
      <c r="H882" s="9"/>
      <c r="I882" s="9"/>
    </row>
    <row r="883" spans="8:9" ht="13.2">
      <c r="H883" s="9"/>
      <c r="I883" s="9"/>
    </row>
    <row r="884" spans="8:9" ht="13.2">
      <c r="H884" s="9"/>
      <c r="I884" s="9"/>
    </row>
    <row r="885" spans="8:9" ht="13.2">
      <c r="H885" s="9"/>
      <c r="I885" s="9"/>
    </row>
    <row r="886" spans="8:9" ht="13.2">
      <c r="H886" s="9"/>
      <c r="I886" s="9"/>
    </row>
    <row r="887" spans="8:9" ht="13.2">
      <c r="H887" s="9"/>
      <c r="I887" s="9"/>
    </row>
    <row r="888" spans="8:9" ht="13.2">
      <c r="H888" s="9"/>
      <c r="I888" s="9"/>
    </row>
    <row r="889" spans="8:9" ht="13.2">
      <c r="H889" s="9"/>
      <c r="I889" s="9"/>
    </row>
    <row r="890" spans="8:9" ht="13.2">
      <c r="H890" s="9"/>
      <c r="I890" s="9"/>
    </row>
    <row r="891" spans="8:9" ht="13.2">
      <c r="H891" s="9"/>
      <c r="I891" s="9"/>
    </row>
    <row r="892" spans="8:9" ht="13.2">
      <c r="H892" s="9"/>
      <c r="I892" s="9"/>
    </row>
    <row r="893" spans="8:9" ht="13.2">
      <c r="H893" s="9"/>
      <c r="I893" s="9"/>
    </row>
    <row r="894" spans="8:9" ht="13.2">
      <c r="H894" s="9"/>
      <c r="I894" s="9"/>
    </row>
    <row r="895" spans="8:9" ht="13.2">
      <c r="H895" s="9"/>
      <c r="I895" s="9"/>
    </row>
    <row r="896" spans="8:9" ht="13.2">
      <c r="H896" s="9"/>
      <c r="I896" s="9"/>
    </row>
    <row r="897" spans="8:9" ht="13.2">
      <c r="H897" s="9"/>
      <c r="I897" s="9"/>
    </row>
    <row r="898" spans="8:9" ht="13.2">
      <c r="H898" s="9"/>
      <c r="I898" s="9"/>
    </row>
    <row r="899" spans="8:9" ht="13.2">
      <c r="H899" s="9"/>
      <c r="I899" s="9"/>
    </row>
    <row r="900" spans="8:9" ht="13.2">
      <c r="H900" s="9"/>
      <c r="I900" s="9"/>
    </row>
    <row r="901" spans="8:9" ht="13.2">
      <c r="H901" s="9"/>
      <c r="I901" s="9"/>
    </row>
    <row r="902" spans="8:9" ht="13.2">
      <c r="H902" s="9"/>
      <c r="I902" s="9"/>
    </row>
    <row r="903" spans="8:9" ht="13.2">
      <c r="H903" s="9"/>
      <c r="I903" s="9"/>
    </row>
    <row r="904" spans="8:9" ht="13.2">
      <c r="H904" s="9"/>
      <c r="I904" s="9"/>
    </row>
    <row r="905" spans="8:9" ht="13.2">
      <c r="H905" s="9"/>
      <c r="I905" s="9"/>
    </row>
    <row r="906" spans="8:9" ht="13.2">
      <c r="H906" s="9"/>
      <c r="I906" s="9"/>
    </row>
    <row r="907" spans="8:9" ht="13.2">
      <c r="H907" s="9"/>
      <c r="I907" s="9"/>
    </row>
    <row r="908" spans="8:9" ht="13.2">
      <c r="H908" s="9"/>
      <c r="I908" s="9"/>
    </row>
    <row r="909" spans="8:9" ht="13.2">
      <c r="H909" s="9"/>
      <c r="I909" s="9"/>
    </row>
    <row r="910" spans="8:9" ht="13.2">
      <c r="H910" s="9"/>
      <c r="I910" s="9"/>
    </row>
    <row r="911" spans="8:9" ht="13.2">
      <c r="H911" s="9"/>
      <c r="I911" s="9"/>
    </row>
    <row r="912" spans="8:9" ht="13.2">
      <c r="H912" s="9"/>
      <c r="I912" s="9"/>
    </row>
    <row r="913" spans="8:9" ht="13.2">
      <c r="H913" s="9"/>
      <c r="I913" s="9"/>
    </row>
    <row r="914" spans="8:9" ht="13.2">
      <c r="H914" s="9"/>
      <c r="I914" s="9"/>
    </row>
    <row r="915" spans="8:9" ht="13.2">
      <c r="H915" s="9"/>
      <c r="I915" s="9"/>
    </row>
    <row r="916" spans="8:9" ht="13.2">
      <c r="H916" s="9"/>
      <c r="I916" s="9"/>
    </row>
    <row r="917" spans="8:9" ht="13.2">
      <c r="H917" s="9"/>
      <c r="I917" s="9"/>
    </row>
    <row r="918" spans="8:9" ht="13.2">
      <c r="H918" s="9"/>
      <c r="I918" s="9"/>
    </row>
    <row r="919" spans="8:9" ht="13.2">
      <c r="H919" s="9"/>
      <c r="I919" s="9"/>
    </row>
    <row r="920" spans="8:9" ht="13.2">
      <c r="H920" s="9"/>
      <c r="I920" s="9"/>
    </row>
    <row r="921" spans="8:9" ht="13.2">
      <c r="H921" s="9"/>
      <c r="I921" s="9"/>
    </row>
    <row r="922" spans="8:9" ht="13.2">
      <c r="H922" s="9"/>
      <c r="I922" s="9"/>
    </row>
    <row r="923" spans="8:9" ht="13.2">
      <c r="H923" s="9"/>
      <c r="I923" s="9"/>
    </row>
    <row r="924" spans="8:9" ht="13.2">
      <c r="H924" s="9"/>
      <c r="I924" s="9"/>
    </row>
    <row r="925" spans="8:9" ht="13.2">
      <c r="H925" s="9"/>
      <c r="I925" s="9"/>
    </row>
    <row r="926" spans="8:9" ht="13.2">
      <c r="H926" s="9"/>
      <c r="I926" s="9"/>
    </row>
    <row r="927" spans="8:9" ht="13.2">
      <c r="H927" s="9"/>
      <c r="I927" s="9"/>
    </row>
    <row r="928" spans="8:9" ht="13.2">
      <c r="H928" s="9"/>
      <c r="I928" s="9"/>
    </row>
    <row r="929" spans="8:9" ht="13.2">
      <c r="H929" s="9"/>
      <c r="I929" s="9"/>
    </row>
    <row r="930" spans="8:9" ht="13.2">
      <c r="H930" s="9"/>
      <c r="I930" s="9"/>
    </row>
    <row r="931" spans="8:9" ht="13.2">
      <c r="H931" s="9"/>
      <c r="I931" s="9"/>
    </row>
    <row r="932" spans="8:9" ht="13.2">
      <c r="H932" s="9"/>
      <c r="I932" s="9"/>
    </row>
    <row r="933" spans="8:9" ht="13.2">
      <c r="H933" s="9"/>
      <c r="I933" s="9"/>
    </row>
    <row r="934" spans="8:9" ht="13.2">
      <c r="H934" s="9"/>
      <c r="I934" s="9"/>
    </row>
    <row r="935" spans="8:9" ht="13.2">
      <c r="H935" s="9"/>
      <c r="I935" s="9"/>
    </row>
    <row r="936" spans="8:9" ht="13.2">
      <c r="H936" s="9"/>
      <c r="I936" s="9"/>
    </row>
    <row r="937" spans="8:9" ht="13.2">
      <c r="H937" s="9"/>
      <c r="I937" s="9"/>
    </row>
    <row r="938" spans="8:9" ht="13.2">
      <c r="H938" s="9"/>
      <c r="I938" s="9"/>
    </row>
    <row r="939" spans="8:9" ht="13.2">
      <c r="H939" s="9"/>
      <c r="I939" s="9"/>
    </row>
    <row r="940" spans="8:9" ht="13.2">
      <c r="H940" s="9"/>
      <c r="I940" s="9"/>
    </row>
    <row r="941" spans="8:9" ht="13.2">
      <c r="H941" s="9"/>
      <c r="I941" s="9"/>
    </row>
    <row r="942" spans="8:9" ht="13.2">
      <c r="H942" s="9"/>
      <c r="I942" s="9"/>
    </row>
    <row r="943" spans="8:9" ht="13.2">
      <c r="H943" s="9"/>
      <c r="I943" s="9"/>
    </row>
    <row r="944" spans="8:9" ht="13.2">
      <c r="H944" s="9"/>
      <c r="I944" s="9"/>
    </row>
    <row r="945" spans="8:9" ht="13.2">
      <c r="H945" s="9"/>
      <c r="I945" s="9"/>
    </row>
    <row r="946" spans="8:9" ht="13.2">
      <c r="H946" s="9"/>
      <c r="I946" s="9"/>
    </row>
    <row r="947" spans="8:9" ht="13.2">
      <c r="H947" s="9"/>
      <c r="I947" s="9"/>
    </row>
    <row r="948" spans="8:9" ht="13.2">
      <c r="H948" s="9"/>
      <c r="I948" s="9"/>
    </row>
    <row r="949" spans="8:9" ht="13.2">
      <c r="H949" s="9"/>
      <c r="I949" s="9"/>
    </row>
    <row r="950" spans="8:9" ht="13.2">
      <c r="H950" s="9"/>
      <c r="I950" s="9"/>
    </row>
    <row r="951" spans="8:9" ht="13.2">
      <c r="H951" s="9"/>
      <c r="I951" s="9"/>
    </row>
    <row r="952" spans="8:9" ht="13.2">
      <c r="H952" s="9"/>
      <c r="I952" s="9"/>
    </row>
    <row r="953" spans="8:9" ht="13.2">
      <c r="H953" s="9"/>
      <c r="I953" s="9"/>
    </row>
    <row r="954" spans="8:9" ht="13.2">
      <c r="H954" s="9"/>
      <c r="I954" s="9"/>
    </row>
    <row r="955" spans="8:9" ht="13.2">
      <c r="H955" s="9"/>
      <c r="I955" s="9"/>
    </row>
    <row r="956" spans="8:9" ht="13.2">
      <c r="H956" s="9"/>
      <c r="I956" s="9"/>
    </row>
    <row r="957" spans="8:9" ht="13.2">
      <c r="H957" s="9"/>
      <c r="I957" s="9"/>
    </row>
    <row r="958" spans="8:9" ht="13.2">
      <c r="H958" s="9"/>
      <c r="I958" s="9"/>
    </row>
    <row r="959" spans="8:9" ht="13.2">
      <c r="H959" s="9"/>
      <c r="I959" s="9"/>
    </row>
    <row r="960" spans="8:9" ht="13.2">
      <c r="H960" s="9"/>
      <c r="I960" s="9"/>
    </row>
    <row r="961" spans="8:9" ht="13.2">
      <c r="H961" s="9"/>
      <c r="I961" s="9"/>
    </row>
    <row r="962" spans="8:9" ht="13.2">
      <c r="H962" s="9"/>
      <c r="I962" s="9"/>
    </row>
    <row r="963" spans="8:9" ht="13.2">
      <c r="H963" s="9"/>
      <c r="I963" s="9"/>
    </row>
    <row r="964" spans="8:9" ht="13.2">
      <c r="H964" s="9"/>
      <c r="I964" s="9"/>
    </row>
    <row r="965" spans="8:9" ht="13.2">
      <c r="H965" s="9"/>
      <c r="I965" s="9"/>
    </row>
    <row r="966" spans="8:9" ht="13.2">
      <c r="H966" s="9"/>
      <c r="I966" s="9"/>
    </row>
    <row r="967" spans="8:9" ht="13.2">
      <c r="H967" s="9"/>
      <c r="I967" s="9"/>
    </row>
    <row r="968" spans="8:9" ht="13.2">
      <c r="H968" s="9"/>
      <c r="I968" s="9"/>
    </row>
    <row r="969" spans="8:9" ht="13.2">
      <c r="H969" s="9"/>
      <c r="I969" s="9"/>
    </row>
    <row r="970" spans="8:9" ht="13.2">
      <c r="H970" s="9"/>
      <c r="I970" s="9"/>
    </row>
    <row r="971" spans="8:9" ht="13.2">
      <c r="H971" s="9"/>
      <c r="I971" s="9"/>
    </row>
    <row r="972" spans="8:9" ht="13.2">
      <c r="H972" s="9"/>
      <c r="I972" s="9"/>
    </row>
    <row r="973" spans="8:9" ht="13.2">
      <c r="H973" s="9"/>
      <c r="I973" s="9"/>
    </row>
    <row r="974" spans="8:9" ht="13.2">
      <c r="H974" s="9"/>
      <c r="I974" s="9"/>
    </row>
    <row r="975" spans="8:9" ht="13.2">
      <c r="H975" s="9"/>
      <c r="I975" s="9"/>
    </row>
    <row r="976" spans="8:9" ht="13.2">
      <c r="H976" s="9"/>
      <c r="I976" s="9"/>
    </row>
    <row r="977" spans="8:9" ht="13.2">
      <c r="H977" s="9"/>
      <c r="I977" s="9"/>
    </row>
    <row r="978" spans="8:9" ht="13.2">
      <c r="H978" s="9"/>
      <c r="I978" s="9"/>
    </row>
    <row r="979" spans="8:9" ht="13.2">
      <c r="H979" s="9"/>
      <c r="I979" s="9"/>
    </row>
    <row r="980" spans="8:9" ht="13.2">
      <c r="H980" s="9"/>
      <c r="I980" s="9"/>
    </row>
    <row r="981" spans="8:9" ht="13.2">
      <c r="H981" s="9"/>
      <c r="I981" s="9"/>
    </row>
    <row r="982" spans="8:9" ht="13.2">
      <c r="H982" s="9"/>
      <c r="I982" s="9"/>
    </row>
    <row r="983" spans="8:9" ht="13.2">
      <c r="H983" s="9"/>
      <c r="I983" s="9"/>
    </row>
    <row r="984" spans="8:9" ht="13.2">
      <c r="H984" s="9"/>
      <c r="I984" s="9"/>
    </row>
    <row r="985" spans="8:9" ht="13.2">
      <c r="H985" s="9"/>
      <c r="I985" s="9"/>
    </row>
    <row r="986" spans="8:9" ht="13.2">
      <c r="H986" s="9"/>
      <c r="I986" s="9"/>
    </row>
    <row r="987" spans="8:9" ht="13.2">
      <c r="H987" s="9"/>
      <c r="I987" s="9"/>
    </row>
    <row r="988" spans="8:9" ht="13.2">
      <c r="H988" s="9"/>
      <c r="I988" s="9"/>
    </row>
    <row r="989" spans="8:9" ht="13.2">
      <c r="H989" s="9"/>
      <c r="I989" s="9"/>
    </row>
    <row r="990" spans="8:9" ht="13.2">
      <c r="H990" s="9"/>
      <c r="I990" s="9"/>
    </row>
    <row r="991" spans="8:9" ht="13.2">
      <c r="H991" s="9"/>
      <c r="I991" s="9"/>
    </row>
    <row r="992" spans="8:9" ht="13.2">
      <c r="H992" s="9"/>
      <c r="I992" s="9"/>
    </row>
    <row r="993" spans="8:9" ht="13.2">
      <c r="H993" s="9"/>
      <c r="I993" s="9"/>
    </row>
    <row r="994" spans="8:9" ht="13.2">
      <c r="H994" s="9"/>
      <c r="I994" s="9"/>
    </row>
    <row r="995" spans="8:9" ht="13.2">
      <c r="H995" s="9"/>
      <c r="I995" s="9"/>
    </row>
    <row r="996" spans="8:9" ht="13.2">
      <c r="H996" s="9"/>
      <c r="I996" s="9"/>
    </row>
    <row r="997" spans="8:9" ht="13.2">
      <c r="H997" s="9"/>
      <c r="I997" s="9"/>
    </row>
    <row r="998" spans="8:9" ht="13.2">
      <c r="H998" s="9"/>
      <c r="I998" s="9"/>
    </row>
    <row r="999" spans="8:9" ht="13.2">
      <c r="H999" s="9"/>
      <c r="I999" s="9"/>
    </row>
    <row r="1000" spans="8:9" ht="13.2">
      <c r="H1000" s="9"/>
      <c r="I1000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outlinePr summaryBelow="0" summaryRight="0"/>
  </sheetPr>
  <dimension ref="A1:AH22"/>
  <sheetViews>
    <sheetView workbookViewId="0">
      <selection activeCell="R1" activeCellId="2" sqref="G1:G9 A1:A9 R1:R9"/>
    </sheetView>
  </sheetViews>
  <sheetFormatPr defaultColWidth="12.6640625" defaultRowHeight="15.75" customHeight="1"/>
  <cols>
    <col min="2" max="4" width="27.88671875" customWidth="1"/>
    <col min="5" max="9" width="30.33203125" customWidth="1"/>
    <col min="10" max="10" width="10.109375" customWidth="1"/>
    <col min="11" max="11" width="19.109375" customWidth="1"/>
    <col min="14" max="14" width="17.44140625" customWidth="1"/>
    <col min="16" max="19" width="21.44140625" customWidth="1"/>
    <col min="20" max="20" width="28.33203125" customWidth="1"/>
    <col min="21" max="21" width="28" customWidth="1"/>
    <col min="22" max="22" width="33.6640625" customWidth="1"/>
    <col min="23" max="25" width="21.44140625" customWidth="1"/>
    <col min="26" max="26" width="35.44140625" customWidth="1"/>
    <col min="27" max="27" width="15.33203125" customWidth="1"/>
    <col min="32" max="32" width="28.6640625" customWidth="1"/>
  </cols>
  <sheetData>
    <row r="1" spans="1:34" ht="13.2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/>
      <c r="M1" s="1" t="s">
        <v>7</v>
      </c>
      <c r="N1" s="1" t="s">
        <v>48</v>
      </c>
      <c r="O1" s="1"/>
      <c r="P1" s="1" t="s">
        <v>49</v>
      </c>
      <c r="Q1" s="1" t="s">
        <v>25</v>
      </c>
      <c r="R1" s="1" t="s">
        <v>50</v>
      </c>
      <c r="S1" s="1" t="s">
        <v>51</v>
      </c>
      <c r="T1" s="1" t="s">
        <v>52</v>
      </c>
      <c r="U1" s="1" t="s">
        <v>53</v>
      </c>
      <c r="V1" s="22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C1" s="1" t="s">
        <v>60</v>
      </c>
      <c r="AD1" s="1" t="s">
        <v>61</v>
      </c>
      <c r="AE1" s="5"/>
      <c r="AF1" s="1" t="s">
        <v>62</v>
      </c>
      <c r="AG1" s="1" t="s">
        <v>63</v>
      </c>
      <c r="AH1" s="7" t="s">
        <v>64</v>
      </c>
    </row>
    <row r="2" spans="1:34" ht="13.2">
      <c r="A2" s="7">
        <v>1998</v>
      </c>
      <c r="B2" s="1"/>
      <c r="C2" s="10">
        <v>4.632E-2</v>
      </c>
      <c r="D2" s="22">
        <f>Backtest!N29*Backtest!L29</f>
        <v>3.9878000000000004E-2</v>
      </c>
      <c r="E2" s="22">
        <v>-1.4999999999999999E-2</v>
      </c>
      <c r="F2" s="22">
        <f t="shared" ref="F2:F9" si="0">E2+D2</f>
        <v>2.4878000000000004E-2</v>
      </c>
      <c r="G2" s="22">
        <f t="shared" ref="G2:G8" si="1">F3-F2</f>
        <v>1.4061999999999963E-3</v>
      </c>
      <c r="H2" s="10">
        <f t="shared" ref="H2:H8" si="2">E3-E2</f>
        <v>1.2E-2</v>
      </c>
      <c r="I2" s="10"/>
      <c r="J2" s="10">
        <f>Backtest!V29</f>
        <v>5.0000000000000001E-3</v>
      </c>
      <c r="K2" s="10">
        <f>Backtest!N29-(Backtest!U29+Backtest!Q29)</f>
        <v>5.1827640361209598E-3</v>
      </c>
      <c r="L2" s="1"/>
      <c r="M2" s="1"/>
      <c r="N2" s="1"/>
      <c r="O2" s="1"/>
      <c r="P2" s="22">
        <f>Backtest!AB29</f>
        <v>-7.1190980636861431E-3</v>
      </c>
      <c r="Q2" s="22">
        <f>Backtest!AC29</f>
        <v>2.9460647720981458E-3</v>
      </c>
      <c r="R2" s="1"/>
      <c r="S2" s="22">
        <f t="shared" ref="S2:S9" si="3">P2-F2</f>
        <v>-3.1997098063686148E-2</v>
      </c>
      <c r="T2" s="22">
        <f t="shared" ref="T2:T9" si="4">S2/2</f>
        <v>-1.5998549031843074E-2</v>
      </c>
      <c r="U2" s="22">
        <f t="shared" ref="U2:U9" si="5">Q2-F2</f>
        <v>-2.1931935227901857E-2</v>
      </c>
      <c r="V2" s="22">
        <f t="shared" ref="V2:V9" si="6">U2/2</f>
        <v>-1.0965967613950928E-2</v>
      </c>
      <c r="W2" s="1"/>
      <c r="X2" s="1"/>
      <c r="Y2" s="22">
        <f>Backtest!AK29</f>
        <v>-1.6931935227901856E-2</v>
      </c>
      <c r="Z2" s="1"/>
      <c r="AA2" s="1"/>
      <c r="AC2" s="11">
        <v>-5.0000000000000001E-3</v>
      </c>
      <c r="AD2" s="10">
        <f t="shared" ref="AD2:AD9" si="7">AC2-(B2)</f>
        <v>-5.0000000000000001E-3</v>
      </c>
      <c r="AE2" s="5"/>
      <c r="AF2" s="1"/>
      <c r="AG2" s="1"/>
    </row>
    <row r="3" spans="1:34" ht="13.2">
      <c r="A3" s="7">
        <v>2000</v>
      </c>
      <c r="B3" s="11">
        <v>-6.0000000000000001E-3</v>
      </c>
      <c r="C3" s="23">
        <v>5.4029999999999995E-2</v>
      </c>
      <c r="D3" s="22">
        <f>Backtest!N31*Backtest!L31</f>
        <v>2.92842E-2</v>
      </c>
      <c r="E3" s="11">
        <v>-3.0000000000000001E-3</v>
      </c>
      <c r="F3" s="22">
        <f t="shared" si="0"/>
        <v>2.6284200000000001E-2</v>
      </c>
      <c r="G3" s="22">
        <f t="shared" si="1"/>
        <v>-1.9034200000000001E-2</v>
      </c>
      <c r="H3" s="10">
        <f t="shared" si="2"/>
        <v>-1.4000000000000002E-2</v>
      </c>
      <c r="I3" s="10">
        <f t="shared" ref="I3:I9" si="8">H2</f>
        <v>1.2E-2</v>
      </c>
      <c r="J3" s="10">
        <f>Backtest!V31</f>
        <v>2.7000000000000003E-2</v>
      </c>
      <c r="K3" s="10">
        <f>Backtest!N31-(Backtest!U31+Backtest!Q31)</f>
        <v>4.1025589471758994E-3</v>
      </c>
      <c r="P3" s="11">
        <f>Backtest!AB31</f>
        <v>-7.1190980636861431E-3</v>
      </c>
      <c r="Q3" s="11">
        <f>Backtest!AC31</f>
        <v>3.6317121799736849E-3</v>
      </c>
      <c r="R3" s="22">
        <f t="shared" ref="R3:R9" si="9">Q3-Q2</f>
        <v>6.8564740787553907E-4</v>
      </c>
      <c r="S3" s="22">
        <f t="shared" si="3"/>
        <v>-3.3403298063686145E-2</v>
      </c>
      <c r="T3" s="22">
        <f t="shared" si="4"/>
        <v>-1.6701649031843072E-2</v>
      </c>
      <c r="U3" s="22">
        <f t="shared" si="5"/>
        <v>-2.2652487820026317E-2</v>
      </c>
      <c r="V3" s="22">
        <f t="shared" si="6"/>
        <v>-1.1326243910013158E-2</v>
      </c>
      <c r="W3" s="11">
        <f t="shared" ref="W3:W9" si="10">U3-V2</f>
        <v>-1.1686520206075388E-2</v>
      </c>
      <c r="X3" s="11">
        <f t="shared" ref="X3:X9" si="11">S3-T2</f>
        <v>-1.740474903184307E-2</v>
      </c>
      <c r="Y3" s="11">
        <f>Backtest!AK31</f>
        <v>-3.5652487820026314E-2</v>
      </c>
      <c r="Z3" s="11">
        <f t="shared" ref="Z3:Z9" si="12">Y3-Y2</f>
        <v>-1.8720552592124459E-2</v>
      </c>
      <c r="AA3" s="10">
        <f>(Y3-E3)</f>
        <v>-3.2652487820026312E-2</v>
      </c>
      <c r="AC3" s="11">
        <v>-5.0000000000000001E-3</v>
      </c>
      <c r="AD3" s="10">
        <f t="shared" si="7"/>
        <v>1E-3</v>
      </c>
      <c r="AF3" s="10">
        <f t="shared" ref="AF3:AF9" si="13">F3+AG3</f>
        <v>3.32842E-2</v>
      </c>
      <c r="AG3" s="11">
        <v>7.0000000000000001E-3</v>
      </c>
    </row>
    <row r="4" spans="1:34" ht="13.2">
      <c r="A4" s="7">
        <v>2003</v>
      </c>
      <c r="B4" s="11">
        <v>-1.7999999999999999E-2</v>
      </c>
      <c r="C4" s="23">
        <v>4.1230000000000003E-2</v>
      </c>
      <c r="D4" s="22">
        <f>Backtest!N34*Backtest!L34</f>
        <v>2.4250000000000001E-2</v>
      </c>
      <c r="E4" s="11">
        <v>-1.7000000000000001E-2</v>
      </c>
      <c r="F4" s="22">
        <f t="shared" si="0"/>
        <v>7.2499999999999995E-3</v>
      </c>
      <c r="G4" s="22">
        <f t="shared" si="1"/>
        <v>4.5500000000000054E-4</v>
      </c>
      <c r="H4" s="10">
        <f t="shared" si="2"/>
        <v>6.0000000000000019E-3</v>
      </c>
      <c r="I4" s="10">
        <f t="shared" si="8"/>
        <v>-1.4000000000000002E-2</v>
      </c>
      <c r="J4" s="10">
        <f>Backtest!V34</f>
        <v>-2.3E-2</v>
      </c>
      <c r="K4" s="10">
        <f>Backtest!N34-(Backtest!U34+Backtest!Q34)</f>
        <v>8.7572766811640224E-3</v>
      </c>
      <c r="P4" s="11">
        <f>Backtest!AB34</f>
        <v>7.1521379655192785E-4</v>
      </c>
      <c r="Q4" s="11">
        <f>Backtest!AC34</f>
        <v>3.7670453274498451E-3</v>
      </c>
      <c r="R4" s="22">
        <f t="shared" si="9"/>
        <v>1.3533314747616026E-4</v>
      </c>
      <c r="S4" s="22">
        <f t="shared" si="3"/>
        <v>-6.5347862034480717E-3</v>
      </c>
      <c r="T4" s="22">
        <f t="shared" si="4"/>
        <v>-3.2673931017240358E-3</v>
      </c>
      <c r="U4" s="22">
        <f t="shared" si="5"/>
        <v>-3.4829546725501544E-3</v>
      </c>
      <c r="V4" s="22">
        <f t="shared" si="6"/>
        <v>-1.7414773362750772E-3</v>
      </c>
      <c r="W4" s="11">
        <f t="shared" si="10"/>
        <v>7.8432892374630039E-3</v>
      </c>
      <c r="X4" s="11">
        <f t="shared" si="11"/>
        <v>1.0166862828395001E-2</v>
      </c>
      <c r="Y4" s="11">
        <f>Backtest!AK34</f>
        <v>-1.0482954672550155E-2</v>
      </c>
      <c r="Z4" s="11">
        <f t="shared" si="12"/>
        <v>2.5169533147476157E-2</v>
      </c>
      <c r="AA4" s="10">
        <f t="shared" ref="AA4:AA9" si="14">(Y4-E4)/2.5</f>
        <v>2.6068181309799382E-3</v>
      </c>
      <c r="AC4" s="11">
        <v>-5.0000000000000001E-3</v>
      </c>
      <c r="AD4" s="10">
        <f t="shared" si="7"/>
        <v>1.2999999999999998E-2</v>
      </c>
      <c r="AF4" s="10">
        <f t="shared" si="13"/>
        <v>1.8249999999999999E-2</v>
      </c>
      <c r="AG4" s="11">
        <v>1.0999999999999999E-2</v>
      </c>
      <c r="AH4" s="10">
        <f t="shared" ref="AH4:AH9" si="15">AG4-AG3</f>
        <v>3.9999999999999992E-3</v>
      </c>
    </row>
    <row r="5" spans="1:34" ht="13.2">
      <c r="A5" s="6">
        <f>Backtest!A38</f>
        <v>2007</v>
      </c>
      <c r="B5" s="10">
        <f>Backtest!H38</f>
        <v>0.01</v>
      </c>
      <c r="C5" s="23">
        <v>4.2880000000000001E-2</v>
      </c>
      <c r="D5" s="22">
        <f>Backtest!N38*Backtest!L38</f>
        <v>1.8704999999999999E-2</v>
      </c>
      <c r="E5" s="11">
        <v>-1.0999999999999999E-2</v>
      </c>
      <c r="F5" s="22">
        <f t="shared" si="0"/>
        <v>7.705E-3</v>
      </c>
      <c r="G5" s="22">
        <f t="shared" si="1"/>
        <v>-2.8084800000000004E-2</v>
      </c>
      <c r="H5" s="10">
        <f t="shared" si="2"/>
        <v>-2.8000000000000001E-2</v>
      </c>
      <c r="I5" s="10">
        <f t="shared" si="8"/>
        <v>6.0000000000000019E-3</v>
      </c>
      <c r="J5" s="10">
        <f>Backtest!V38</f>
        <v>1.8000000000000002E-2</v>
      </c>
      <c r="K5" s="10">
        <f>Backtest!N38-(Backtest!U38+Backtest!Q38)</f>
        <v>5.0417185554172683E-3</v>
      </c>
      <c r="M5" s="10">
        <f>Backtest!I38</f>
        <v>0</v>
      </c>
      <c r="N5" s="10">
        <f t="shared" ref="N5:N9" si="16">F5+M5</f>
        <v>7.705E-3</v>
      </c>
      <c r="P5" s="10">
        <f>Backtest!AB38</f>
        <v>1.8309247591386834E-3</v>
      </c>
      <c r="Q5" s="10">
        <f>Backtest!AC38</f>
        <v>1.4964463033456594E-3</v>
      </c>
      <c r="R5" s="22">
        <f t="shared" si="9"/>
        <v>-2.2705990241041855E-3</v>
      </c>
      <c r="S5" s="22">
        <f t="shared" si="3"/>
        <v>-5.8740752408613164E-3</v>
      </c>
      <c r="T5" s="22">
        <f t="shared" si="4"/>
        <v>-2.9370376204306582E-3</v>
      </c>
      <c r="U5" s="22">
        <f t="shared" si="5"/>
        <v>-6.2085536966543405E-3</v>
      </c>
      <c r="V5" s="22">
        <f t="shared" si="6"/>
        <v>-3.1042768483271702E-3</v>
      </c>
      <c r="W5" s="11">
        <f t="shared" si="10"/>
        <v>-4.4670763603792633E-3</v>
      </c>
      <c r="X5" s="11">
        <f t="shared" si="11"/>
        <v>-2.6066821391372806E-3</v>
      </c>
      <c r="Y5" s="10">
        <f>Backtest!AK38</f>
        <v>2.7914463033456606E-3</v>
      </c>
      <c r="Z5" s="11">
        <f t="shared" si="12"/>
        <v>1.3274400975895816E-2</v>
      </c>
      <c r="AA5" s="10">
        <f t="shared" si="14"/>
        <v>5.5165785213382636E-3</v>
      </c>
      <c r="AC5" s="11">
        <v>-5.0000000000000001E-3</v>
      </c>
      <c r="AD5" s="10">
        <f t="shared" si="7"/>
        <v>-1.4999999999999999E-2</v>
      </c>
      <c r="AF5" s="10">
        <f t="shared" si="13"/>
        <v>3.7705000000000002E-2</v>
      </c>
      <c r="AG5" s="12">
        <v>0.03</v>
      </c>
      <c r="AH5" s="24">
        <f t="shared" si="15"/>
        <v>1.9E-2</v>
      </c>
    </row>
    <row r="6" spans="1:34" ht="13.2">
      <c r="A6" s="6">
        <f>Backtest!A41</f>
        <v>2010</v>
      </c>
      <c r="B6" s="10">
        <f>Backtest!H41</f>
        <v>-2.9000000000000001E-2</v>
      </c>
      <c r="C6" s="23">
        <v>2.9900000000000003E-2</v>
      </c>
      <c r="D6" s="22">
        <f>Backtest!N41*Backtest!L41</f>
        <v>1.8620199999999996E-2</v>
      </c>
      <c r="E6" s="11">
        <v>-3.9E-2</v>
      </c>
      <c r="F6" s="22">
        <f t="shared" si="0"/>
        <v>-2.0379800000000003E-2</v>
      </c>
      <c r="G6" s="22">
        <f t="shared" si="1"/>
        <v>1.6386200000000004E-2</v>
      </c>
      <c r="H6" s="10">
        <f t="shared" si="2"/>
        <v>1.7000000000000001E-2</v>
      </c>
      <c r="I6" s="10">
        <f t="shared" si="8"/>
        <v>-2.8000000000000001E-2</v>
      </c>
      <c r="J6" s="10">
        <f>Backtest!V41</f>
        <v>-1.9E-2</v>
      </c>
      <c r="K6" s="10">
        <f>Backtest!N41-(Backtest!U41+Backtest!Q41)</f>
        <v>5.7165008168720589E-3</v>
      </c>
      <c r="M6" s="10">
        <f>Backtest!I41</f>
        <v>1.6799999999999999E-2</v>
      </c>
      <c r="N6" s="10">
        <f t="shared" si="16"/>
        <v>-3.5798000000000045E-3</v>
      </c>
      <c r="P6" s="10">
        <f>Backtest!AB41</f>
        <v>2.4377744074040282E-3</v>
      </c>
      <c r="Q6" s="10">
        <f>Backtest!AC41</f>
        <v>4.2450640759217548E-3</v>
      </c>
      <c r="R6" s="22">
        <f t="shared" si="9"/>
        <v>2.7486177725760952E-3</v>
      </c>
      <c r="S6" s="22">
        <f t="shared" si="3"/>
        <v>2.2817574407404031E-2</v>
      </c>
      <c r="T6" s="22">
        <f t="shared" si="4"/>
        <v>1.1408787203702015E-2</v>
      </c>
      <c r="U6" s="22">
        <f t="shared" si="5"/>
        <v>2.4624864075921758E-2</v>
      </c>
      <c r="V6" s="22">
        <f t="shared" si="6"/>
        <v>1.2312432037960879E-2</v>
      </c>
      <c r="W6" s="11">
        <f t="shared" si="10"/>
        <v>2.7729140924248927E-2</v>
      </c>
      <c r="X6" s="11">
        <f t="shared" si="11"/>
        <v>2.5754612027834689E-2</v>
      </c>
      <c r="Y6" s="10">
        <f>Backtest!AK41</f>
        <v>5.6248640759217587E-3</v>
      </c>
      <c r="Z6" s="11">
        <f t="shared" si="12"/>
        <v>2.8334177725760981E-3</v>
      </c>
      <c r="AA6" s="10">
        <f t="shared" si="14"/>
        <v>1.7849945630368701E-2</v>
      </c>
      <c r="AC6" s="11">
        <v>-5.0000000000000001E-3</v>
      </c>
      <c r="AD6" s="10">
        <f t="shared" si="7"/>
        <v>2.4E-2</v>
      </c>
      <c r="AF6" s="10">
        <f t="shared" si="13"/>
        <v>9.6201999999999954E-3</v>
      </c>
      <c r="AG6" s="12">
        <v>0.03</v>
      </c>
      <c r="AH6" s="24">
        <f t="shared" si="15"/>
        <v>0</v>
      </c>
    </row>
    <row r="7" spans="1:34" ht="13.2">
      <c r="A7" s="6">
        <f>Backtest!A43</f>
        <v>2012</v>
      </c>
      <c r="B7" s="10">
        <f>Backtest!H43</f>
        <v>-2.5999999999999999E-2</v>
      </c>
      <c r="C7" s="23">
        <v>1.932E-2</v>
      </c>
      <c r="D7" s="22">
        <f>Backtest!N43*Backtest!L43</f>
        <v>1.8006399999999999E-2</v>
      </c>
      <c r="E7" s="11">
        <v>-2.1999999999999999E-2</v>
      </c>
      <c r="F7" s="22">
        <f t="shared" si="0"/>
        <v>-3.9935999999999999E-3</v>
      </c>
      <c r="G7" s="22">
        <f t="shared" si="1"/>
        <v>1.9227599999999997E-2</v>
      </c>
      <c r="H7" s="10">
        <f t="shared" si="2"/>
        <v>2.7999999999999997E-2</v>
      </c>
      <c r="I7" s="10">
        <f t="shared" si="8"/>
        <v>1.7000000000000001E-2</v>
      </c>
      <c r="J7" s="10">
        <f>Backtest!V43</f>
        <v>-2.6000000000000002E-2</v>
      </c>
      <c r="K7" s="10">
        <f>Backtest!N43-(Backtest!U43+Backtest!Q43)</f>
        <v>2.8076134699853844E-3</v>
      </c>
      <c r="M7" s="10">
        <f>Backtest!I43</f>
        <v>1.8599999999999998E-2</v>
      </c>
      <c r="N7" s="10">
        <f t="shared" si="16"/>
        <v>1.4606399999999999E-2</v>
      </c>
      <c r="P7" s="10">
        <f>Backtest!AB43</f>
        <v>-3.2779625532401479E-3</v>
      </c>
      <c r="Q7" s="10">
        <f>Backtest!AC43</f>
        <v>1.5178485577612684E-3</v>
      </c>
      <c r="R7" s="22">
        <f t="shared" si="9"/>
        <v>-2.7272155181604866E-3</v>
      </c>
      <c r="S7" s="22">
        <f t="shared" si="3"/>
        <v>7.1563744675985207E-4</v>
      </c>
      <c r="T7" s="22">
        <f t="shared" si="4"/>
        <v>3.5781872337992604E-4</v>
      </c>
      <c r="U7" s="22">
        <f t="shared" si="5"/>
        <v>5.5114485577612681E-3</v>
      </c>
      <c r="V7" s="22">
        <f t="shared" si="6"/>
        <v>2.7557242788806341E-3</v>
      </c>
      <c r="W7" s="11">
        <f t="shared" si="10"/>
        <v>-6.800983480199611E-3</v>
      </c>
      <c r="X7" s="11">
        <f t="shared" si="11"/>
        <v>-1.0693149756942164E-2</v>
      </c>
      <c r="Y7" s="10">
        <f>Backtest!AK43</f>
        <v>3.5114485577612715E-3</v>
      </c>
      <c r="Z7" s="11">
        <f t="shared" si="12"/>
        <v>-2.1134155181604872E-3</v>
      </c>
      <c r="AA7" s="10">
        <f t="shared" si="14"/>
        <v>1.0204579423104508E-2</v>
      </c>
      <c r="AC7" s="11">
        <v>-5.0000000000000001E-3</v>
      </c>
      <c r="AD7" s="10">
        <f t="shared" si="7"/>
        <v>2.0999999999999998E-2</v>
      </c>
      <c r="AF7" s="10">
        <f t="shared" si="13"/>
        <v>4.1006399999999998E-2</v>
      </c>
      <c r="AG7" s="11">
        <v>4.4999999999999998E-2</v>
      </c>
      <c r="AH7" s="10">
        <f t="shared" si="15"/>
        <v>1.4999999999999999E-2</v>
      </c>
    </row>
    <row r="8" spans="1:34" ht="13.2">
      <c r="A8" s="6">
        <f>Backtest!A48</f>
        <v>2017</v>
      </c>
      <c r="B8" s="10">
        <f>Backtest!H48</f>
        <v>6.0000000000000001E-3</v>
      </c>
      <c r="C8" s="23">
        <v>5.2199999999999998E-3</v>
      </c>
      <c r="D8" s="22">
        <f>Backtest!N48*Backtest!L48</f>
        <v>9.2339999999999992E-3</v>
      </c>
      <c r="E8" s="11">
        <v>6.0000000000000001E-3</v>
      </c>
      <c r="F8" s="22">
        <f t="shared" si="0"/>
        <v>1.5233999999999999E-2</v>
      </c>
      <c r="G8" s="22">
        <f t="shared" si="1"/>
        <v>-2.8784400000000002E-2</v>
      </c>
      <c r="H8" s="10">
        <f t="shared" si="2"/>
        <v>-2.5000000000000001E-2</v>
      </c>
      <c r="I8" s="10">
        <f t="shared" si="8"/>
        <v>2.7999999999999997E-2</v>
      </c>
      <c r="J8" s="10">
        <f>Backtest!V48</f>
        <v>6.0000000000000001E-3</v>
      </c>
      <c r="K8" s="10">
        <f>Backtest!N48-(Backtest!U48+Backtest!Q48)</f>
        <v>-1.6994147439504982E-2</v>
      </c>
      <c r="M8" s="10">
        <f>Backtest!I48</f>
        <v>0</v>
      </c>
      <c r="N8" s="10">
        <f t="shared" si="16"/>
        <v>1.5233999999999999E-2</v>
      </c>
      <c r="P8" s="10">
        <f>Backtest!AB48</f>
        <v>-1.5432979445377134E-2</v>
      </c>
      <c r="Q8" s="10">
        <f>Backtest!AC48</f>
        <v>-7.9064535837991209E-3</v>
      </c>
      <c r="R8" s="22">
        <f t="shared" si="9"/>
        <v>-9.4243021415603891E-3</v>
      </c>
      <c r="S8" s="22">
        <f t="shared" si="3"/>
        <v>-3.0666979445377135E-2</v>
      </c>
      <c r="T8" s="22">
        <f t="shared" si="4"/>
        <v>-1.5333489722688567E-2</v>
      </c>
      <c r="U8" s="22">
        <f t="shared" si="5"/>
        <v>-2.3140453583799118E-2</v>
      </c>
      <c r="V8" s="22">
        <f t="shared" si="6"/>
        <v>-1.1570226791899559E-2</v>
      </c>
      <c r="W8" s="11">
        <f t="shared" si="10"/>
        <v>-2.5896177862679753E-2</v>
      </c>
      <c r="X8" s="11">
        <f t="shared" si="11"/>
        <v>-3.102479816875706E-2</v>
      </c>
      <c r="Y8" s="10">
        <f>Backtest!AK48</f>
        <v>-1.714045358379912E-2</v>
      </c>
      <c r="Z8" s="11">
        <f t="shared" si="12"/>
        <v>-2.0651902141560392E-2</v>
      </c>
      <c r="AA8" s="10">
        <f t="shared" si="14"/>
        <v>-9.2561814335196477E-3</v>
      </c>
      <c r="AC8" s="11">
        <v>-5.0000000000000001E-3</v>
      </c>
      <c r="AD8" s="10">
        <f t="shared" si="7"/>
        <v>-1.0999999999999999E-2</v>
      </c>
      <c r="AF8" s="10">
        <f t="shared" si="13"/>
        <v>1.1233999999999999E-2</v>
      </c>
      <c r="AG8" s="11">
        <v>-4.0000000000000001E-3</v>
      </c>
      <c r="AH8" s="10">
        <f t="shared" si="15"/>
        <v>-4.9000000000000002E-2</v>
      </c>
    </row>
    <row r="9" spans="1:34" ht="13.2">
      <c r="A9" s="6">
        <f>Backtest!A52</f>
        <v>2021</v>
      </c>
      <c r="B9" s="10">
        <f>Backtest!H52</f>
        <v>1.7000000000000001E-2</v>
      </c>
      <c r="C9" s="23">
        <v>-3.2799999999999999E-3</v>
      </c>
      <c r="D9" s="22">
        <f>Backtest!N52*Backtest!L52</f>
        <v>5.4495999999999998E-3</v>
      </c>
      <c r="E9" s="25">
        <v>-1.9E-2</v>
      </c>
      <c r="F9" s="22">
        <f t="shared" si="0"/>
        <v>-1.3550400000000001E-2</v>
      </c>
      <c r="G9" s="22">
        <f>F11-F9</f>
        <v>1.3550400000000001E-2</v>
      </c>
      <c r="H9" s="10">
        <f>J10-E9</f>
        <v>-6.9999999999999993E-3</v>
      </c>
      <c r="I9" s="10">
        <f t="shared" si="8"/>
        <v>-2.5000000000000001E-2</v>
      </c>
      <c r="J9" s="10">
        <f>Backtest!V52</f>
        <v>-0.01</v>
      </c>
      <c r="K9" s="10">
        <f>Backtest!N52-(Backtest!U52+Backtest!Q52)</f>
        <v>-2.3609493670886002E-2</v>
      </c>
      <c r="M9" s="10">
        <f>Backtest!I52</f>
        <v>0</v>
      </c>
      <c r="N9" s="10">
        <f t="shared" si="16"/>
        <v>-1.3550400000000001E-2</v>
      </c>
      <c r="P9" s="10">
        <f>Backtest!AB52</f>
        <v>-1.8897016713236733E-2</v>
      </c>
      <c r="Q9" s="10">
        <f>Backtest!AC52</f>
        <v>-9.8181066005305073E-3</v>
      </c>
      <c r="R9" s="22">
        <f t="shared" si="9"/>
        <v>-1.9116530167313864E-3</v>
      </c>
      <c r="S9" s="22">
        <f t="shared" si="3"/>
        <v>-5.346616713236732E-3</v>
      </c>
      <c r="T9" s="22">
        <f t="shared" si="4"/>
        <v>-2.673308356618366E-3</v>
      </c>
      <c r="U9" s="22">
        <f t="shared" si="5"/>
        <v>3.7322933994694933E-3</v>
      </c>
      <c r="V9" s="22">
        <f t="shared" si="6"/>
        <v>1.8661466997347467E-3</v>
      </c>
      <c r="W9" s="11">
        <f t="shared" si="10"/>
        <v>1.5302520191369053E-2</v>
      </c>
      <c r="X9" s="11">
        <f t="shared" si="11"/>
        <v>9.9868730094518354E-3</v>
      </c>
      <c r="Y9" s="10">
        <f>Backtest!AK52</f>
        <v>-1.5267706600530506E-2</v>
      </c>
      <c r="Z9" s="11">
        <f t="shared" si="12"/>
        <v>1.8727469832686139E-3</v>
      </c>
      <c r="AA9" s="10">
        <f t="shared" si="14"/>
        <v>1.4929173597877973E-3</v>
      </c>
      <c r="AC9" s="11">
        <v>-5.0000000000000001E-3</v>
      </c>
      <c r="AD9" s="10">
        <f t="shared" si="7"/>
        <v>-2.2000000000000002E-2</v>
      </c>
      <c r="AF9" s="10">
        <f t="shared" si="13"/>
        <v>2.4495999999999997E-3</v>
      </c>
      <c r="AG9" s="11">
        <v>1.6E-2</v>
      </c>
      <c r="AH9" s="10">
        <f t="shared" si="15"/>
        <v>0.02</v>
      </c>
    </row>
    <row r="10" spans="1:34" ht="13.2">
      <c r="E10" s="25">
        <v>-2.7E-2</v>
      </c>
      <c r="F10" s="22"/>
      <c r="G10" s="22"/>
      <c r="H10" s="11"/>
      <c r="I10" s="10"/>
      <c r="J10" s="11">
        <v>-2.5999999999999999E-2</v>
      </c>
      <c r="P10" s="11"/>
      <c r="Q10" s="11"/>
      <c r="R10" s="1"/>
      <c r="S10" s="1"/>
    </row>
    <row r="11" spans="1:34" ht="13.2">
      <c r="F11" s="22"/>
      <c r="G11" s="22"/>
      <c r="H11" s="11"/>
      <c r="I11" s="10">
        <f>H9</f>
        <v>-6.9999999999999993E-3</v>
      </c>
      <c r="P11" s="11">
        <v>-1.34E-2</v>
      </c>
      <c r="Q11" s="11">
        <v>-1.34E-2</v>
      </c>
      <c r="R11" s="22">
        <f>Q11-Q9</f>
        <v>-3.5818933994694931E-3</v>
      </c>
      <c r="S11" s="1"/>
    </row>
    <row r="13" spans="1:34" ht="13.2">
      <c r="E13" s="25"/>
    </row>
    <row r="14" spans="1:34" ht="13.2">
      <c r="E14" s="25"/>
      <c r="F14" s="7"/>
    </row>
    <row r="15" spans="1:34" ht="15.75" customHeight="1">
      <c r="A15" s="26"/>
      <c r="B15" s="27"/>
      <c r="C15" s="28"/>
      <c r="D15" s="28"/>
      <c r="E15" s="28"/>
      <c r="F15" s="29"/>
      <c r="G15" s="28"/>
      <c r="H15" s="28"/>
      <c r="I15" s="28"/>
      <c r="J15" s="28"/>
      <c r="K15" s="28"/>
      <c r="L15" s="28"/>
      <c r="M15" s="28"/>
      <c r="N15" s="28"/>
    </row>
    <row r="16" spans="1:34" ht="15.75" customHeight="1">
      <c r="A16" s="3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5.75" customHeight="1">
      <c r="A17" s="3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5.75" customHeight="1">
      <c r="A18" s="3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5.75" customHeight="1">
      <c r="A19" s="3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5.75" customHeight="1">
      <c r="A20" s="3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5.75" customHeight="1">
      <c r="A21" s="30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13.2">
      <c r="H22" s="7" t="s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outlinePr summaryBelow="0" summaryRight="0"/>
  </sheetPr>
  <dimension ref="A1:AQ1000"/>
  <sheetViews>
    <sheetView workbookViewId="0">
      <selection activeCell="AO1" sqref="AO1:AO1048576"/>
    </sheetView>
  </sheetViews>
  <sheetFormatPr defaultColWidth="12.6640625" defaultRowHeight="15.75" customHeight="1"/>
  <cols>
    <col min="30" max="30" width="11.33203125" customWidth="1"/>
    <col min="31" max="31" width="19.33203125" customWidth="1"/>
    <col min="35" max="35" width="13.33203125" customWidth="1"/>
    <col min="37" max="37" width="21.33203125" customWidth="1"/>
    <col min="41" max="41" width="14.33203125" customWidth="1"/>
  </cols>
  <sheetData>
    <row r="1" spans="1:43" ht="15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/>
      <c r="G1" s="1" t="s">
        <v>5</v>
      </c>
      <c r="H1" s="4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5"/>
      <c r="T1" s="1" t="s">
        <v>17</v>
      </c>
      <c r="U1" s="1" t="s">
        <v>18</v>
      </c>
      <c r="V1" s="1" t="s">
        <v>19</v>
      </c>
      <c r="W1" s="5"/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24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Q1" s="1" t="s">
        <v>37</v>
      </c>
    </row>
    <row r="2" spans="1:43" ht="15.75" customHeight="1">
      <c r="A2" s="6">
        <f>'CPB Data'!A2:A53</f>
        <v>1971</v>
      </c>
      <c r="B2" s="7">
        <v>1</v>
      </c>
      <c r="C2" s="8"/>
      <c r="D2" s="8"/>
      <c r="E2" s="8"/>
      <c r="H2" s="9"/>
      <c r="I2" s="9"/>
      <c r="J2" s="10">
        <f>'CPB Data'!D2</f>
        <v>1.18E-2</v>
      </c>
      <c r="L2" s="10">
        <f>'CPB Data'!G2/100</f>
        <v>0.46399999999999997</v>
      </c>
      <c r="M2" s="10">
        <f>'CPB Data'!C2</f>
        <v>0.13589999999999999</v>
      </c>
      <c r="N2" s="10">
        <f>'CPB Data'!B2</f>
        <v>5.5300000000000002E-2</v>
      </c>
      <c r="O2" s="10">
        <f>'Marktrente NL'!C13</f>
        <v>7.6260000000000008E-2</v>
      </c>
      <c r="P2" s="10">
        <f t="shared" ref="P2:P53" si="0">O2-N2</f>
        <v>2.0960000000000006E-2</v>
      </c>
      <c r="Q2" s="10">
        <f>MEDIAN(Inflatie!B2:B10)/100</f>
        <v>5.2000000000000005E-2</v>
      </c>
      <c r="R2" s="10">
        <f t="shared" ref="R2:R53" si="1">J2-L2*N2-D2</f>
        <v>-1.38592E-2</v>
      </c>
      <c r="U2" s="10">
        <f>'AMECO Potential GDP'!C10</f>
        <v>4.6963562753036481E-2</v>
      </c>
      <c r="V2" s="10">
        <f>'AMECO Output Gap'!B8/100</f>
        <v>1.3000000000000001E-2</v>
      </c>
      <c r="Y2" s="11">
        <f t="shared" ref="Y2:Y53" si="2">N2*L2 - 1%</f>
        <v>1.5659199999999998E-2</v>
      </c>
      <c r="Z2" s="10">
        <f>IF(B2=1,Y2,Y1)</f>
        <v>1.5659199999999998E-2</v>
      </c>
      <c r="AA2" s="10">
        <f>((1+N2)/(1+U2+Q2)-1)*L2</f>
        <v>-1.8435454826778327E-2</v>
      </c>
      <c r="AB2" s="10">
        <f t="shared" ref="AB2:AB53" si="3">IF(B2=1,((1+O2)/(1+U2+Q2)-1)*L2,AB1)</f>
        <v>-9.5858074593654832E-3</v>
      </c>
      <c r="AC2" s="10"/>
      <c r="AD2" s="10">
        <f>IF(B2=1,AA2,AA1)</f>
        <v>-1.8435454826778327E-2</v>
      </c>
      <c r="AE2" s="10">
        <f t="shared" ref="AE2:AE53" si="4">IF(B2=1,AB2,AB1)</f>
        <v>-9.5858074593654832E-3</v>
      </c>
      <c r="AF2" s="10">
        <f t="shared" ref="AF2:AF53" si="5">V2</f>
        <v>1.3000000000000001E-2</v>
      </c>
      <c r="AG2" s="10">
        <f t="shared" ref="AG2:AG53" si="6">Z2+AF2</f>
        <v>2.8659199999999999E-2</v>
      </c>
      <c r="AH2" s="10">
        <f t="shared" ref="AH2:AH53" si="7">AD2+AF2</f>
        <v>-5.4354548267783256E-3</v>
      </c>
      <c r="AI2" s="10"/>
      <c r="AJ2" s="10">
        <f t="shared" ref="AJ2:AJ53" si="8">AH2-AM2*N2-D2</f>
        <v>-3.1094654826778326E-2</v>
      </c>
      <c r="AK2" s="10"/>
      <c r="AL2" s="10">
        <f t="shared" ref="AL2:AM2" si="9">$L2</f>
        <v>0.46399999999999997</v>
      </c>
      <c r="AM2" s="10">
        <f t="shared" si="9"/>
        <v>0.46399999999999997</v>
      </c>
      <c r="AN2" s="10">
        <f t="shared" ref="AN2:AN53" si="10">IF(0&gt;0,M2,M2-(AH2-J2)*0.6)</f>
        <v>0.14624127289606698</v>
      </c>
      <c r="AO2" s="10">
        <f>$L2</f>
        <v>0.46399999999999997</v>
      </c>
      <c r="AQ2" s="12">
        <v>0.6</v>
      </c>
    </row>
    <row r="3" spans="1:43" ht="15.75" customHeight="1">
      <c r="A3" s="6">
        <f>'CPB Data'!A3:A54</f>
        <v>1972</v>
      </c>
      <c r="B3" s="7">
        <v>1</v>
      </c>
      <c r="C3" s="13">
        <v>0.02</v>
      </c>
      <c r="D3" s="13"/>
      <c r="E3" s="13"/>
      <c r="H3" s="9"/>
      <c r="I3" s="9"/>
      <c r="J3" s="10">
        <f>'CPB Data'!D3</f>
        <v>1.8800000000000001E-2</v>
      </c>
      <c r="L3" s="10">
        <f>'CPB Data'!G3/100</f>
        <v>0.436</v>
      </c>
      <c r="M3" s="10">
        <f>'CPB Data'!C3</f>
        <v>0.12509999999999999</v>
      </c>
      <c r="N3" s="10">
        <f>'CPB Data'!B3</f>
        <v>5.4800000000000001E-2</v>
      </c>
      <c r="O3" s="10">
        <f>'Marktrente NL'!C14</f>
        <v>7.3539999999999994E-2</v>
      </c>
      <c r="P3" s="10">
        <f t="shared" si="0"/>
        <v>1.8739999999999993E-2</v>
      </c>
      <c r="Q3" s="10">
        <f>MEDIAN(Inflatie!B3:B11)/100</f>
        <v>5.5E-2</v>
      </c>
      <c r="R3" s="10">
        <f t="shared" si="1"/>
        <v>-5.0928000000000015E-3</v>
      </c>
      <c r="U3" s="10">
        <f>'AMECO Potential GDP'!C11</f>
        <v>4.0216550657385941E-2</v>
      </c>
      <c r="V3" s="10">
        <f>'AMECO Output Gap'!B9/100</f>
        <v>8.0000000000000002E-3</v>
      </c>
      <c r="Y3" s="11">
        <f t="shared" si="2"/>
        <v>1.3892800000000002E-2</v>
      </c>
      <c r="Z3" s="10">
        <f t="shared" ref="Z3:Z53" si="11">IF(B3=1,Y3,Z2)</f>
        <v>1.3892800000000002E-2</v>
      </c>
      <c r="AA3" s="10">
        <f t="shared" ref="AA3:AA53" si="12">((1+N2)/(1+U2+Q2)-1)*AM2</f>
        <v>-1.8435454826778327E-2</v>
      </c>
      <c r="AB3" s="10">
        <f t="shared" si="3"/>
        <v>-8.6293218276764175E-3</v>
      </c>
      <c r="AC3" s="10">
        <f>((1+N2)/(1+U2+Q2)-1)*L2</f>
        <v>-1.8435454826778327E-2</v>
      </c>
      <c r="AD3" s="10">
        <f t="shared" ref="AD3:AD53" si="13">IF(B3=1,AA3,AD2)</f>
        <v>-1.8435454826778327E-2</v>
      </c>
      <c r="AE3" s="10">
        <f t="shared" si="4"/>
        <v>-8.6293218276764175E-3</v>
      </c>
      <c r="AF3" s="10">
        <f t="shared" si="5"/>
        <v>8.0000000000000002E-3</v>
      </c>
      <c r="AG3" s="10">
        <f t="shared" si="6"/>
        <v>2.1892800000000004E-2</v>
      </c>
      <c r="AH3" s="10">
        <f t="shared" si="7"/>
        <v>-1.0435454826778327E-2</v>
      </c>
      <c r="AI3" s="10">
        <f t="shared" ref="AI3:AI53" si="14">AC3+AF3</f>
        <v>-1.0435454826778327E-2</v>
      </c>
      <c r="AJ3" s="10">
        <f t="shared" si="8"/>
        <v>-3.478215599512554E-2</v>
      </c>
      <c r="AK3" s="10">
        <f t="shared" ref="AK3:AK53" si="15">AC3-L3*N3-C3</f>
        <v>-6.2328254826778326E-2</v>
      </c>
      <c r="AL3" s="10">
        <f t="shared" ref="AL3:AL5" si="16">($AL2+D3+$AL2*$N3-$AG3)/(1+$M3)</f>
        <v>0.41554919562705533</v>
      </c>
      <c r="AM3" s="10">
        <f t="shared" ref="AM3:AM53" si="17">($AM2+D3+($AM2*$N3-$AH3))/(1+$M3)</f>
        <v>0.44428286803553307</v>
      </c>
      <c r="AN3" s="10">
        <f t="shared" si="10"/>
        <v>0.14264127289606698</v>
      </c>
      <c r="AO3" s="10">
        <f t="shared" ref="AO3:AO53" si="18">($AO2+D3+($AO2*$N3-$AH3))/(1+$AN3)</f>
        <v>0.43746245360090813</v>
      </c>
      <c r="AQ3" s="12">
        <v>0.6</v>
      </c>
    </row>
    <row r="4" spans="1:43" ht="15.75" customHeight="1">
      <c r="A4" s="6">
        <f>'CPB Data'!A4:A55</f>
        <v>1973</v>
      </c>
      <c r="B4" s="7">
        <v>1</v>
      </c>
      <c r="C4" s="13">
        <v>0.03</v>
      </c>
      <c r="D4" s="13"/>
      <c r="E4" s="13"/>
      <c r="H4" s="9"/>
      <c r="I4" s="9"/>
      <c r="J4" s="10">
        <f>'CPB Data'!D4</f>
        <v>3.0700000000000002E-2</v>
      </c>
      <c r="L4" s="10">
        <f>'CPB Data'!G4/100</f>
        <v>0.40600000000000003</v>
      </c>
      <c r="M4" s="10">
        <f>'CPB Data'!C4</f>
        <v>0.14360000000000001</v>
      </c>
      <c r="N4" s="10">
        <f>'CPB Data'!B4</f>
        <v>5.8400000000000001E-2</v>
      </c>
      <c r="O4" s="10">
        <f>'Marktrente NL'!C15</f>
        <v>7.9170000000000004E-2</v>
      </c>
      <c r="P4" s="10">
        <f t="shared" si="0"/>
        <v>2.0770000000000004E-2</v>
      </c>
      <c r="Q4" s="10">
        <f>MEDIAN(Inflatie!B4:B12)/100</f>
        <v>5.7999999999999996E-2</v>
      </c>
      <c r="R4" s="10">
        <f t="shared" si="1"/>
        <v>6.9895999999999986E-3</v>
      </c>
      <c r="U4" s="10">
        <f>'AMECO Potential GDP'!C12</f>
        <v>3.754646840148701E-2</v>
      </c>
      <c r="V4" s="10">
        <f>'AMECO Output Gap'!B10/100</f>
        <v>2.4E-2</v>
      </c>
      <c r="Y4" s="11">
        <f t="shared" si="2"/>
        <v>1.3710400000000003E-2</v>
      </c>
      <c r="Z4" s="10">
        <f t="shared" si="11"/>
        <v>1.3710400000000003E-2</v>
      </c>
      <c r="AA4" s="10">
        <f t="shared" si="12"/>
        <v>-1.6395279117530498E-2</v>
      </c>
      <c r="AB4" s="10">
        <f t="shared" si="3"/>
        <v>-6.0689768647651425E-3</v>
      </c>
      <c r="AC4" s="10">
        <f t="shared" ref="AC4:AC53" si="19">((1+N3)/(1+U3+Q3)-1)*L3</f>
        <v>-1.6089618145418975E-2</v>
      </c>
      <c r="AD4" s="10">
        <f t="shared" si="13"/>
        <v>-1.6395279117530498E-2</v>
      </c>
      <c r="AE4" s="10">
        <f t="shared" si="4"/>
        <v>-6.0689768647651425E-3</v>
      </c>
      <c r="AF4" s="10">
        <f t="shared" si="5"/>
        <v>2.4E-2</v>
      </c>
      <c r="AG4" s="10">
        <f t="shared" si="6"/>
        <v>3.7710400000000005E-2</v>
      </c>
      <c r="AH4" s="10">
        <f t="shared" si="7"/>
        <v>7.6047208824695026E-3</v>
      </c>
      <c r="AI4" s="10">
        <f t="shared" si="14"/>
        <v>7.9103818545810251E-3</v>
      </c>
      <c r="AJ4" s="10">
        <f t="shared" si="8"/>
        <v>-1.6020023059596065E-2</v>
      </c>
      <c r="AK4" s="10">
        <f t="shared" si="15"/>
        <v>-6.9800018145418974E-2</v>
      </c>
      <c r="AL4" s="10">
        <f t="shared" si="16"/>
        <v>0.35161496034599105</v>
      </c>
      <c r="AM4" s="10">
        <f t="shared" si="17"/>
        <v>0.40453328667920491</v>
      </c>
      <c r="AN4" s="10">
        <f t="shared" si="10"/>
        <v>0.1574571674705183</v>
      </c>
      <c r="AO4" s="10">
        <f t="shared" si="18"/>
        <v>0.39345347094265704</v>
      </c>
      <c r="AQ4" s="12">
        <v>0.6</v>
      </c>
    </row>
    <row r="5" spans="1:43" ht="15.75" customHeight="1">
      <c r="A5" s="6">
        <f>'CPB Data'!A5:A56</f>
        <v>1974</v>
      </c>
      <c r="B5" s="7">
        <v>0</v>
      </c>
      <c r="C5" s="13">
        <v>0.03</v>
      </c>
      <c r="D5" s="13"/>
      <c r="E5" s="13"/>
      <c r="H5" s="9"/>
      <c r="I5" s="9"/>
      <c r="J5" s="10">
        <f>'CPB Data'!D5</f>
        <v>2.4799999999999999E-2</v>
      </c>
      <c r="L5" s="10">
        <f>'CPB Data'!G5/100</f>
        <v>0.38600000000000001</v>
      </c>
      <c r="M5" s="10">
        <f>'CPB Data'!C5</f>
        <v>0.1353</v>
      </c>
      <c r="N5" s="10">
        <f>'CPB Data'!B5</f>
        <v>6.7400000000000002E-2</v>
      </c>
      <c r="O5" s="10">
        <f>'Marktrente NL'!C16</f>
        <v>9.8239999999999994E-2</v>
      </c>
      <c r="P5" s="10">
        <f t="shared" si="0"/>
        <v>3.0839999999999992E-2</v>
      </c>
      <c r="Q5" s="10">
        <f>MEDIAN(Inflatie!B5:B13)/100</f>
        <v>7.4999999999999997E-2</v>
      </c>
      <c r="R5" s="10">
        <f t="shared" si="1"/>
        <v>-1.2164000000000029E-3</v>
      </c>
      <c r="U5" s="10">
        <f>'AMECO Potential GDP'!C13</f>
        <v>3.2604801146542295E-2</v>
      </c>
      <c r="V5" s="10">
        <f>'AMECO Output Gap'!B11/100</f>
        <v>2.6000000000000002E-2</v>
      </c>
      <c r="Y5" s="11">
        <f t="shared" si="2"/>
        <v>1.60164E-2</v>
      </c>
      <c r="Z5" s="10">
        <f t="shared" si="11"/>
        <v>1.3710400000000003E-2</v>
      </c>
      <c r="AA5" s="10">
        <f t="shared" si="12"/>
        <v>-1.3716426810178721E-2</v>
      </c>
      <c r="AB5" s="10">
        <f t="shared" si="3"/>
        <v>-6.0689768647651425E-3</v>
      </c>
      <c r="AC5" s="10">
        <f t="shared" si="19"/>
        <v>-1.3766158356577161E-2</v>
      </c>
      <c r="AD5" s="10">
        <f t="shared" si="13"/>
        <v>-1.6395279117530498E-2</v>
      </c>
      <c r="AE5" s="10">
        <f t="shared" si="4"/>
        <v>-6.0689768647651425E-3</v>
      </c>
      <c r="AF5" s="10">
        <f t="shared" si="5"/>
        <v>2.6000000000000002E-2</v>
      </c>
      <c r="AG5" s="10">
        <f t="shared" si="6"/>
        <v>3.9710400000000007E-2</v>
      </c>
      <c r="AH5" s="10">
        <f t="shared" si="7"/>
        <v>9.6047208824695043E-3</v>
      </c>
      <c r="AI5" s="10">
        <f t="shared" si="14"/>
        <v>1.2233841643422842E-2</v>
      </c>
      <c r="AJ5" s="10">
        <f t="shared" si="8"/>
        <v>-1.545991663016574E-2</v>
      </c>
      <c r="AK5" s="10">
        <f t="shared" si="15"/>
        <v>-6.9782558356577165E-2</v>
      </c>
      <c r="AL5" s="10">
        <f t="shared" si="16"/>
        <v>0.29560768842888296</v>
      </c>
      <c r="AM5" s="10">
        <f t="shared" si="17"/>
        <v>0.37187889484622022</v>
      </c>
      <c r="AN5" s="10">
        <f t="shared" si="10"/>
        <v>0.1444171674705183</v>
      </c>
      <c r="AO5" s="10">
        <f t="shared" si="18"/>
        <v>0.35858210245897432</v>
      </c>
      <c r="AQ5" s="12">
        <v>0.6</v>
      </c>
    </row>
    <row r="6" spans="1:43" ht="15.75" customHeight="1">
      <c r="A6" s="6">
        <f>'CPB Data'!A6:A57</f>
        <v>1975</v>
      </c>
      <c r="B6" s="7">
        <v>0</v>
      </c>
      <c r="C6" s="13">
        <v>0.02</v>
      </c>
      <c r="D6" s="13"/>
      <c r="E6" s="13"/>
      <c r="H6" s="9"/>
      <c r="I6" s="9"/>
      <c r="J6" s="10">
        <f>'CPB Data'!D6</f>
        <v>5.9999999999999995E-4</v>
      </c>
      <c r="L6" s="10">
        <f>'CPB Data'!G6/100</f>
        <v>0.39399999999999996</v>
      </c>
      <c r="M6" s="10">
        <f>'CPB Data'!C6</f>
        <v>0.1062</v>
      </c>
      <c r="N6" s="10">
        <f>'CPB Data'!B6</f>
        <v>7.1900000000000006E-2</v>
      </c>
      <c r="O6" s="10">
        <f>'Marktrente NL'!C17</f>
        <v>8.7870000000000004E-2</v>
      </c>
      <c r="P6" s="10">
        <f t="shared" si="0"/>
        <v>1.5969999999999998E-2</v>
      </c>
      <c r="Q6" s="10">
        <f>MEDIAN(Inflatie!B6:B14)/100</f>
        <v>7.5999999999999998E-2</v>
      </c>
      <c r="R6" s="10">
        <f t="shared" si="1"/>
        <v>-2.7728599999999999E-2</v>
      </c>
      <c r="U6" s="10">
        <f>'AMECO Potential GDP'!C14</f>
        <v>2.7411519777932103E-2</v>
      </c>
      <c r="V6" s="10">
        <f>'AMECO Output Gap'!B12/100</f>
        <v>-1E-3</v>
      </c>
      <c r="Y6" s="11">
        <f t="shared" si="2"/>
        <v>1.83286E-2</v>
      </c>
      <c r="Z6" s="10">
        <f t="shared" si="11"/>
        <v>1.3710400000000003E-2</v>
      </c>
      <c r="AA6" s="10">
        <f t="shared" si="12"/>
        <v>-1.3498783142156207E-2</v>
      </c>
      <c r="AB6" s="10">
        <f t="shared" si="3"/>
        <v>-6.0689768647651425E-3</v>
      </c>
      <c r="AC6" s="10">
        <f t="shared" si="19"/>
        <v>-1.4011363282734722E-2</v>
      </c>
      <c r="AD6" s="10">
        <f t="shared" si="13"/>
        <v>-1.6395279117530498E-2</v>
      </c>
      <c r="AE6" s="10">
        <f t="shared" si="4"/>
        <v>-6.0689768647651425E-3</v>
      </c>
      <c r="AF6" s="10">
        <f t="shared" si="5"/>
        <v>-1E-3</v>
      </c>
      <c r="AG6" s="10">
        <f t="shared" si="6"/>
        <v>1.2710400000000004E-2</v>
      </c>
      <c r="AH6" s="10">
        <f t="shared" si="7"/>
        <v>-1.7395279117530499E-2</v>
      </c>
      <c r="AI6" s="10">
        <f t="shared" si="14"/>
        <v>-1.5011363282734721E-2</v>
      </c>
      <c r="AJ6" s="10">
        <f t="shared" si="8"/>
        <v>-4.4434948220386808E-2</v>
      </c>
      <c r="AK6" s="10">
        <f t="shared" si="15"/>
        <v>-6.2339963282734723E-2</v>
      </c>
      <c r="AL6" s="10">
        <f t="shared" ref="AL6:AL53" si="20">($AL5+D6+($AL5*$N6-$AG6))/(1+$M6)</f>
        <v>0.27495161926136291</v>
      </c>
      <c r="AM6" s="10">
        <f t="shared" si="17"/>
        <v>0.37607328376712523</v>
      </c>
      <c r="AN6" s="10">
        <f t="shared" si="10"/>
        <v>0.1169971674705183</v>
      </c>
      <c r="AO6" s="10">
        <f t="shared" si="18"/>
        <v>0.35967811418278189</v>
      </c>
      <c r="AQ6" s="12">
        <v>0.6</v>
      </c>
    </row>
    <row r="7" spans="1:43" ht="15.75" customHeight="1">
      <c r="A7" s="6">
        <f>'CPB Data'!A7:A58</f>
        <v>1976</v>
      </c>
      <c r="B7" s="7">
        <v>0</v>
      </c>
      <c r="C7" s="13">
        <v>0.03</v>
      </c>
      <c r="D7" s="13"/>
      <c r="E7" s="13"/>
      <c r="H7" s="9"/>
      <c r="I7" s="9"/>
      <c r="J7" s="10">
        <f>'CPB Data'!D7</f>
        <v>8.5000000000000006E-3</v>
      </c>
      <c r="L7" s="10">
        <f>'CPB Data'!G7/100</f>
        <v>0.39200000000000002</v>
      </c>
      <c r="M7" s="10">
        <f>'CPB Data'!C7</f>
        <v>0.13900000000000001</v>
      </c>
      <c r="N7" s="10">
        <f>'CPB Data'!B7</f>
        <v>7.0800000000000002E-2</v>
      </c>
      <c r="O7" s="10">
        <f>'Marktrente NL'!C18</f>
        <v>8.9529999999999998E-2</v>
      </c>
      <c r="P7" s="10">
        <f t="shared" si="0"/>
        <v>1.8729999999999997E-2</v>
      </c>
      <c r="Q7" s="10">
        <f>MEDIAN(Inflatie!B7:B15)/100</f>
        <v>7.8E-2</v>
      </c>
      <c r="R7" s="10">
        <f t="shared" si="1"/>
        <v>-1.9253600000000003E-2</v>
      </c>
      <c r="U7" s="10">
        <f>'AMECO Potential GDP'!C15</f>
        <v>2.7017899358324993E-2</v>
      </c>
      <c r="V7" s="10">
        <f>'AMECO Output Gap'!B13/100</f>
        <v>1.6E-2</v>
      </c>
      <c r="Y7" s="11">
        <f t="shared" si="2"/>
        <v>1.7753600000000001E-2</v>
      </c>
      <c r="Z7" s="10">
        <f t="shared" si="11"/>
        <v>1.3710400000000003E-2</v>
      </c>
      <c r="AA7" s="10">
        <f t="shared" si="12"/>
        <v>-1.0740000903529298E-2</v>
      </c>
      <c r="AB7" s="10">
        <f t="shared" si="3"/>
        <v>-6.0689768647651425E-3</v>
      </c>
      <c r="AC7" s="10">
        <f t="shared" si="19"/>
        <v>-1.125195683565451E-2</v>
      </c>
      <c r="AD7" s="10">
        <f t="shared" si="13"/>
        <v>-1.6395279117530498E-2</v>
      </c>
      <c r="AE7" s="10">
        <f t="shared" si="4"/>
        <v>-6.0689768647651425E-3</v>
      </c>
      <c r="AF7" s="10">
        <f t="shared" si="5"/>
        <v>1.6E-2</v>
      </c>
      <c r="AG7" s="10">
        <f t="shared" si="6"/>
        <v>2.9710400000000005E-2</v>
      </c>
      <c r="AH7" s="10">
        <f t="shared" si="7"/>
        <v>-3.952791175304976E-4</v>
      </c>
      <c r="AI7" s="10">
        <f t="shared" si="14"/>
        <v>4.7480431643454907E-3</v>
      </c>
      <c r="AJ7" s="10">
        <f t="shared" si="8"/>
        <v>-2.5451551494506851E-2</v>
      </c>
      <c r="AK7" s="10">
        <f t="shared" si="15"/>
        <v>-6.9005556835654513E-2</v>
      </c>
      <c r="AL7" s="10">
        <f t="shared" si="20"/>
        <v>0.2324036820940012</v>
      </c>
      <c r="AM7" s="10">
        <f t="shared" si="17"/>
        <v>0.35390215221718013</v>
      </c>
      <c r="AN7" s="10">
        <f t="shared" si="10"/>
        <v>0.14433716747051831</v>
      </c>
      <c r="AO7" s="10">
        <f t="shared" si="18"/>
        <v>0.33690997264089656</v>
      </c>
      <c r="AQ7" s="12">
        <v>0.6</v>
      </c>
    </row>
    <row r="8" spans="1:43" ht="15.75" customHeight="1">
      <c r="A8" s="6">
        <f>'CPB Data'!A8:A59</f>
        <v>1977</v>
      </c>
      <c r="B8" s="7">
        <v>1</v>
      </c>
      <c r="C8" s="13">
        <v>0.02</v>
      </c>
      <c r="D8" s="13"/>
      <c r="E8" s="13"/>
      <c r="H8" s="9"/>
      <c r="I8" s="9"/>
      <c r="J8" s="10">
        <f>'CPB Data'!D8</f>
        <v>2.1299999999999999E-2</v>
      </c>
      <c r="L8" s="10">
        <f>'CPB Data'!G8/100</f>
        <v>0.39</v>
      </c>
      <c r="M8" s="10">
        <f>'CPB Data'!C8</f>
        <v>8.1299999999999997E-2</v>
      </c>
      <c r="N8" s="10">
        <f>'CPB Data'!B8</f>
        <v>7.2700000000000001E-2</v>
      </c>
      <c r="O8" s="10">
        <f>'Marktrente NL'!C19</f>
        <v>8.1010000000000013E-2</v>
      </c>
      <c r="P8" s="10">
        <f t="shared" si="0"/>
        <v>8.3100000000000118E-3</v>
      </c>
      <c r="Q8" s="10">
        <f>MEDIAN(Inflatie!B8:B16)/100</f>
        <v>7.8E-2</v>
      </c>
      <c r="R8" s="10">
        <f t="shared" si="1"/>
        <v>-7.0530000000000002E-3</v>
      </c>
      <c r="U8" s="10">
        <f>'AMECO Potential GDP'!C16</f>
        <v>2.4991779020059113E-2</v>
      </c>
      <c r="V8" s="10">
        <f>'AMECO Output Gap'!B14/100</f>
        <v>1.6E-2</v>
      </c>
      <c r="Y8" s="11">
        <f t="shared" si="2"/>
        <v>1.8353000000000001E-2</v>
      </c>
      <c r="Z8" s="10">
        <f t="shared" si="11"/>
        <v>1.8353000000000001E-2</v>
      </c>
      <c r="AA8" s="10">
        <f t="shared" si="12"/>
        <v>-1.0958906850553445E-2</v>
      </c>
      <c r="AB8" s="10">
        <f t="shared" si="3"/>
        <v>-7.7724004665198458E-3</v>
      </c>
      <c r="AC8" s="10">
        <f t="shared" si="19"/>
        <v>-1.213864187743249E-2</v>
      </c>
      <c r="AD8" s="10">
        <f t="shared" si="13"/>
        <v>-1.0958906850553445E-2</v>
      </c>
      <c r="AE8" s="10">
        <f t="shared" si="4"/>
        <v>-7.7724004665198458E-3</v>
      </c>
      <c r="AF8" s="10">
        <f t="shared" si="5"/>
        <v>1.6E-2</v>
      </c>
      <c r="AG8" s="10">
        <f t="shared" si="6"/>
        <v>3.4353000000000002E-2</v>
      </c>
      <c r="AH8" s="10">
        <f t="shared" si="7"/>
        <v>5.0410931494465558E-3</v>
      </c>
      <c r="AI8" s="10">
        <f t="shared" si="14"/>
        <v>3.8613581225675105E-3</v>
      </c>
      <c r="AJ8" s="10">
        <f t="shared" si="8"/>
        <v>-2.014403077575105E-2</v>
      </c>
      <c r="AK8" s="10">
        <f t="shared" si="15"/>
        <v>-6.0491641877432487E-2</v>
      </c>
      <c r="AL8" s="10">
        <f t="shared" si="20"/>
        <v>0.19878519354687421</v>
      </c>
      <c r="AM8" s="10">
        <f t="shared" si="17"/>
        <v>0.34642536348277314</v>
      </c>
      <c r="AN8" s="10">
        <f t="shared" si="10"/>
        <v>9.1055344110332059E-2</v>
      </c>
      <c r="AO8" s="10">
        <f t="shared" si="18"/>
        <v>0.32662159296147159</v>
      </c>
      <c r="AQ8" s="12">
        <v>0.6</v>
      </c>
    </row>
    <row r="9" spans="1:43" ht="15.75" customHeight="1">
      <c r="A9" s="6">
        <f>'CPB Data'!A9:A60</f>
        <v>1978</v>
      </c>
      <c r="B9" s="7">
        <v>0</v>
      </c>
      <c r="C9" s="13">
        <v>0.02</v>
      </c>
      <c r="D9" s="13"/>
      <c r="E9" s="13"/>
      <c r="H9" s="9"/>
      <c r="I9" s="9"/>
      <c r="J9" s="10">
        <f>'CPB Data'!D9</f>
        <v>9.7999999999999997E-3</v>
      </c>
      <c r="L9" s="10">
        <f>'CPB Data'!G9/100</f>
        <v>0.40200000000000002</v>
      </c>
      <c r="M9" s="10">
        <f>'CPB Data'!C9</f>
        <v>8.0399999999999999E-2</v>
      </c>
      <c r="N9" s="10">
        <f>'CPB Data'!B9</f>
        <v>7.6700000000000004E-2</v>
      </c>
      <c r="O9" s="10">
        <f>'Marktrente NL'!C20</f>
        <v>7.7359999999999998E-2</v>
      </c>
      <c r="P9" s="10">
        <f t="shared" si="0"/>
        <v>6.5999999999999392E-4</v>
      </c>
      <c r="Q9" s="10">
        <f>MEDIAN(Inflatie!B9:B17)/100</f>
        <v>7.8E-2</v>
      </c>
      <c r="R9" s="10">
        <f t="shared" si="1"/>
        <v>-2.1033400000000004E-2</v>
      </c>
      <c r="U9" s="10">
        <f>'AMECO Potential GDP'!C17</f>
        <v>2.3099133782483072E-2</v>
      </c>
      <c r="V9" s="10">
        <f>'AMECO Output Gap'!B15/100</f>
        <v>0.02</v>
      </c>
      <c r="Y9" s="11">
        <f t="shared" si="2"/>
        <v>2.0833400000000002E-2</v>
      </c>
      <c r="Z9" s="10">
        <f t="shared" si="11"/>
        <v>1.8353000000000001E-2</v>
      </c>
      <c r="AA9" s="10">
        <f t="shared" si="12"/>
        <v>-9.5139789408829525E-3</v>
      </c>
      <c r="AB9" s="10">
        <f t="shared" si="3"/>
        <v>-7.7724004665198458E-3</v>
      </c>
      <c r="AC9" s="10">
        <f t="shared" si="19"/>
        <v>-1.0710681659222284E-2</v>
      </c>
      <c r="AD9" s="10">
        <f t="shared" si="13"/>
        <v>-1.0958906850553445E-2</v>
      </c>
      <c r="AE9" s="10">
        <f t="shared" si="4"/>
        <v>-7.7724004665198458E-3</v>
      </c>
      <c r="AF9" s="10">
        <f t="shared" si="5"/>
        <v>0.02</v>
      </c>
      <c r="AG9" s="10">
        <f t="shared" si="6"/>
        <v>3.8352999999999998E-2</v>
      </c>
      <c r="AH9" s="10">
        <f t="shared" si="7"/>
        <v>9.0410931494465559E-3</v>
      </c>
      <c r="AI9" s="10">
        <f t="shared" si="14"/>
        <v>9.2893183407777163E-3</v>
      </c>
      <c r="AJ9" s="10">
        <f t="shared" si="8"/>
        <v>-1.679688893232438E-2</v>
      </c>
      <c r="AK9" s="10">
        <f t="shared" si="15"/>
        <v>-6.1544081659222288E-2</v>
      </c>
      <c r="AL9" s="10">
        <f t="shared" si="20"/>
        <v>0.16260553303583808</v>
      </c>
      <c r="AM9" s="10">
        <f t="shared" si="17"/>
        <v>0.33687069207002523</v>
      </c>
      <c r="AN9" s="10">
        <f t="shared" si="10"/>
        <v>8.0855344110332072E-2</v>
      </c>
      <c r="AO9" s="10">
        <f t="shared" si="18"/>
        <v>0.3170011397539933</v>
      </c>
      <c r="AQ9" s="12">
        <v>0.6</v>
      </c>
    </row>
    <row r="10" spans="1:43" ht="15.75" customHeight="1">
      <c r="A10" s="6">
        <f>'CPB Data'!A10:A61</f>
        <v>1979</v>
      </c>
      <c r="B10" s="7">
        <v>0</v>
      </c>
      <c r="C10" s="13">
        <v>0.02</v>
      </c>
      <c r="D10" s="13"/>
      <c r="E10" s="13"/>
      <c r="H10" s="9"/>
      <c r="I10" s="9"/>
      <c r="J10" s="10">
        <f>'CPB Data'!D10</f>
        <v>7.7000000000000002E-3</v>
      </c>
      <c r="L10" s="10">
        <f>'CPB Data'!G10/100</f>
        <v>0.41799999999999998</v>
      </c>
      <c r="M10" s="10">
        <f>'CPB Data'!C10</f>
        <v>7.0999999999999994E-2</v>
      </c>
      <c r="N10" s="10">
        <f>'CPB Data'!B10</f>
        <v>7.7799999999999994E-2</v>
      </c>
      <c r="O10" s="10">
        <f>'Marktrente NL'!C21</f>
        <v>8.7750000000000009E-2</v>
      </c>
      <c r="P10" s="10">
        <f t="shared" si="0"/>
        <v>9.9500000000000144E-3</v>
      </c>
      <c r="Q10" s="10">
        <f>MEDIAN(Inflatie!B10:B18)/100</f>
        <v>7.8E-2</v>
      </c>
      <c r="R10" s="10">
        <f t="shared" si="1"/>
        <v>-2.4820399999999999E-2</v>
      </c>
      <c r="U10" s="10">
        <f>'AMECO Potential GDP'!C18</f>
        <v>2.226403261210419E-2</v>
      </c>
      <c r="V10" s="10">
        <f>'AMECO Output Gap'!B16/100</f>
        <v>1.8000000000000002E-2</v>
      </c>
      <c r="Y10" s="11">
        <f t="shared" si="2"/>
        <v>2.2520399999999996E-2</v>
      </c>
      <c r="Z10" s="10">
        <f t="shared" si="11"/>
        <v>1.8353000000000001E-2</v>
      </c>
      <c r="AA10" s="10">
        <f t="shared" si="12"/>
        <v>-7.464680364409346E-3</v>
      </c>
      <c r="AB10" s="10">
        <f t="shared" si="3"/>
        <v>-7.7724004665198458E-3</v>
      </c>
      <c r="AC10" s="10">
        <f t="shared" si="19"/>
        <v>-8.9078734871621927E-3</v>
      </c>
      <c r="AD10" s="10">
        <f t="shared" si="13"/>
        <v>-1.0958906850553445E-2</v>
      </c>
      <c r="AE10" s="10">
        <f t="shared" si="4"/>
        <v>-7.7724004665198458E-3</v>
      </c>
      <c r="AF10" s="10">
        <f t="shared" si="5"/>
        <v>1.8000000000000002E-2</v>
      </c>
      <c r="AG10" s="10">
        <f t="shared" si="6"/>
        <v>3.6353000000000003E-2</v>
      </c>
      <c r="AH10" s="10">
        <f t="shared" si="7"/>
        <v>7.0410931494465576E-3</v>
      </c>
      <c r="AI10" s="10">
        <f t="shared" si="14"/>
        <v>9.0921265128378094E-3</v>
      </c>
      <c r="AJ10" s="10">
        <f t="shared" si="8"/>
        <v>-1.8822368284549851E-2</v>
      </c>
      <c r="AK10" s="10">
        <f t="shared" si="15"/>
        <v>-6.1428273487162191E-2</v>
      </c>
      <c r="AL10" s="10">
        <f t="shared" si="20"/>
        <v>0.12969490523438496</v>
      </c>
      <c r="AM10" s="10">
        <f t="shared" si="17"/>
        <v>0.33243523694082788</v>
      </c>
      <c r="AN10" s="10">
        <f t="shared" si="10"/>
        <v>7.1395344110332062E-2</v>
      </c>
      <c r="AO10" s="10">
        <f t="shared" si="18"/>
        <v>0.31232423877599758</v>
      </c>
      <c r="AQ10" s="12">
        <v>0.6</v>
      </c>
    </row>
    <row r="11" spans="1:43" ht="15.75" customHeight="1">
      <c r="A11" s="6">
        <f>'CPB Data'!A11:A62</f>
        <v>1980</v>
      </c>
      <c r="B11" s="7">
        <v>0</v>
      </c>
      <c r="C11" s="13">
        <v>0.02</v>
      </c>
      <c r="D11" s="13"/>
      <c r="E11" s="13"/>
      <c r="H11" s="9"/>
      <c r="I11" s="9"/>
      <c r="J11" s="10">
        <f>'CPB Data'!D11</f>
        <v>-2.8E-3</v>
      </c>
      <c r="L11" s="10">
        <f>'CPB Data'!G11/100</f>
        <v>0.441</v>
      </c>
      <c r="M11" s="10">
        <f>'CPB Data'!C11</f>
        <v>7.8799999999999995E-2</v>
      </c>
      <c r="N11" s="10">
        <f>'CPB Data'!B11</f>
        <v>8.3500000000000005E-2</v>
      </c>
      <c r="O11" s="10">
        <f>'Marktrente NL'!C22</f>
        <v>0.10208</v>
      </c>
      <c r="P11" s="10">
        <f t="shared" si="0"/>
        <v>1.8579999999999999E-2</v>
      </c>
      <c r="Q11" s="10">
        <f>MEDIAN(Inflatie!B11:B19)/100</f>
        <v>7.8E-2</v>
      </c>
      <c r="R11" s="10">
        <f t="shared" si="1"/>
        <v>-3.9623499999999999E-2</v>
      </c>
      <c r="U11" s="10">
        <f>'AMECO Potential GDP'!C19</f>
        <v>2.208588957055202E-2</v>
      </c>
      <c r="V11" s="10">
        <f>'AMECO Output Gap'!B17/100</f>
        <v>9.0000000000000011E-3</v>
      </c>
      <c r="Y11" s="11">
        <f t="shared" si="2"/>
        <v>2.68235E-2</v>
      </c>
      <c r="Z11" s="10">
        <f t="shared" si="11"/>
        <v>1.8353000000000001E-2</v>
      </c>
      <c r="AA11" s="10">
        <f t="shared" si="12"/>
        <v>-6.7873126655991481E-3</v>
      </c>
      <c r="AB11" s="10">
        <f t="shared" si="3"/>
        <v>-7.7724004665198458E-3</v>
      </c>
      <c r="AC11" s="10">
        <f t="shared" si="19"/>
        <v>-8.5342839114417798E-3</v>
      </c>
      <c r="AD11" s="10">
        <f t="shared" si="13"/>
        <v>-1.0958906850553445E-2</v>
      </c>
      <c r="AE11" s="10">
        <f t="shared" si="4"/>
        <v>-7.7724004665198458E-3</v>
      </c>
      <c r="AF11" s="10">
        <f t="shared" si="5"/>
        <v>9.0000000000000011E-3</v>
      </c>
      <c r="AG11" s="10">
        <f t="shared" si="6"/>
        <v>2.7353000000000002E-2</v>
      </c>
      <c r="AH11" s="10">
        <f t="shared" si="7"/>
        <v>-1.9589068505534435E-3</v>
      </c>
      <c r="AI11" s="10">
        <f t="shared" si="14"/>
        <v>4.6571608855822122E-4</v>
      </c>
      <c r="AJ11" s="10">
        <f t="shared" si="8"/>
        <v>-2.9989804688281507E-2</v>
      </c>
      <c r="AK11" s="10">
        <f t="shared" si="15"/>
        <v>-6.5357783911441786E-2</v>
      </c>
      <c r="AL11" s="10">
        <f t="shared" si="20"/>
        <v>0.10490492197020401</v>
      </c>
      <c r="AM11" s="10">
        <f t="shared" si="17"/>
        <v>0.33569937530213245</v>
      </c>
      <c r="AN11" s="10">
        <f t="shared" si="10"/>
        <v>7.8295344110332066E-2</v>
      </c>
      <c r="AO11" s="10">
        <f t="shared" si="18"/>
        <v>0.31564841805485966</v>
      </c>
      <c r="AQ11" s="12">
        <v>0.6</v>
      </c>
    </row>
    <row r="12" spans="1:43" ht="15.75" customHeight="1">
      <c r="A12" s="6">
        <f>'CPB Data'!A12:A63</f>
        <v>1981</v>
      </c>
      <c r="B12" s="7">
        <v>1</v>
      </c>
      <c r="C12" s="13">
        <v>0.01</v>
      </c>
      <c r="D12" s="13"/>
      <c r="E12" s="13"/>
      <c r="H12" s="9"/>
      <c r="I12" s="9"/>
      <c r="J12" s="10">
        <f>'CPB Data'!D12</f>
        <v>-5.4000000000000003E-3</v>
      </c>
      <c r="L12" s="10">
        <f>'CPB Data'!G12/100</f>
        <v>0.47399999999999998</v>
      </c>
      <c r="M12" s="10">
        <f>'CPB Data'!C12</f>
        <v>5.5399999999999998E-2</v>
      </c>
      <c r="N12" s="10">
        <f>'CPB Data'!B12</f>
        <v>9.3600000000000003E-2</v>
      </c>
      <c r="O12" s="10">
        <f>'Marktrente NL'!C23</f>
        <v>0.11553000000000001</v>
      </c>
      <c r="P12" s="10">
        <f t="shared" si="0"/>
        <v>2.1930000000000005E-2</v>
      </c>
      <c r="Q12" s="10">
        <f>MEDIAN(Inflatie!B12:B20)/100</f>
        <v>6.7000000000000004E-2</v>
      </c>
      <c r="R12" s="10">
        <f t="shared" si="1"/>
        <v>-4.9766400000000002E-2</v>
      </c>
      <c r="U12" s="10">
        <f>'AMECO Potential GDP'!C20</f>
        <v>1.4405762304922076E-2</v>
      </c>
      <c r="V12" s="10">
        <f>'AMECO Output Gap'!B18/100</f>
        <v>-1.3000000000000001E-2</v>
      </c>
      <c r="Y12" s="11">
        <f t="shared" si="2"/>
        <v>3.4366399999999998E-2</v>
      </c>
      <c r="Z12" s="10">
        <f t="shared" si="11"/>
        <v>3.4366399999999998E-2</v>
      </c>
      <c r="AA12" s="10">
        <f t="shared" si="12"/>
        <v>-5.0613073219565622E-3</v>
      </c>
      <c r="AB12" s="10">
        <f t="shared" si="3"/>
        <v>1.4957279895560675E-2</v>
      </c>
      <c r="AC12" s="10">
        <f t="shared" si="19"/>
        <v>-6.6489147528916047E-3</v>
      </c>
      <c r="AD12" s="10">
        <f t="shared" si="13"/>
        <v>-5.0613073219565622E-3</v>
      </c>
      <c r="AE12" s="10">
        <f t="shared" si="4"/>
        <v>1.4957279895560675E-2</v>
      </c>
      <c r="AF12" s="10">
        <f t="shared" si="5"/>
        <v>-1.3000000000000001E-2</v>
      </c>
      <c r="AG12" s="10">
        <f t="shared" si="6"/>
        <v>2.1366399999999997E-2</v>
      </c>
      <c r="AH12" s="10">
        <f t="shared" si="7"/>
        <v>-1.8061307321956564E-2</v>
      </c>
      <c r="AI12" s="10">
        <f t="shared" si="14"/>
        <v>-1.9648914752891607E-2</v>
      </c>
      <c r="AJ12" s="10">
        <f t="shared" si="8"/>
        <v>-5.222186132296254E-2</v>
      </c>
      <c r="AK12" s="10">
        <f t="shared" si="15"/>
        <v>-6.1015314752891604E-2</v>
      </c>
      <c r="AL12" s="10">
        <f t="shared" si="20"/>
        <v>8.8457099361962402E-2</v>
      </c>
      <c r="AM12" s="10">
        <f t="shared" si="17"/>
        <v>0.36496318377143139</v>
      </c>
      <c r="AN12" s="10">
        <f t="shared" si="10"/>
        <v>6.2996784393173938E-2</v>
      </c>
      <c r="AO12" s="10">
        <f t="shared" si="18"/>
        <v>0.34172673204662585</v>
      </c>
      <c r="AQ12" s="12">
        <v>0.6</v>
      </c>
    </row>
    <row r="13" spans="1:43" ht="15.75" customHeight="1">
      <c r="A13" s="6">
        <f>'CPB Data'!A13:A64</f>
        <v>1982</v>
      </c>
      <c r="B13" s="7">
        <v>1</v>
      </c>
      <c r="C13" s="13">
        <v>0.01</v>
      </c>
      <c r="D13" s="13"/>
      <c r="E13" s="13"/>
      <c r="H13" s="9"/>
      <c r="I13" s="9"/>
      <c r="J13" s="10">
        <f>'CPB Data'!D13</f>
        <v>-1.09E-2</v>
      </c>
      <c r="L13" s="10">
        <f>'CPB Data'!G13/100</f>
        <v>0.53</v>
      </c>
      <c r="M13" s="10">
        <f>'CPB Data'!C13</f>
        <v>3.3399999999999999E-2</v>
      </c>
      <c r="N13" s="10">
        <f>'CPB Data'!B13</f>
        <v>0.1013</v>
      </c>
      <c r="O13" s="10">
        <f>'Marktrente NL'!C24</f>
        <v>0.10098000000000001</v>
      </c>
      <c r="P13" s="10">
        <f t="shared" si="0"/>
        <v>-3.1999999999998696E-4</v>
      </c>
      <c r="Q13" s="10">
        <f>MEDIAN(Inflatie!B13:B21)/100</f>
        <v>6.7000000000000004E-2</v>
      </c>
      <c r="R13" s="10">
        <f t="shared" si="1"/>
        <v>-6.4589000000000008E-2</v>
      </c>
      <c r="U13" s="10">
        <f>'AMECO Potential GDP'!C21</f>
        <v>9.4674556213016903E-3</v>
      </c>
      <c r="V13" s="10">
        <f>'AMECO Output Gap'!B19/100</f>
        <v>-3.4000000000000002E-2</v>
      </c>
      <c r="Y13" s="11">
        <f t="shared" si="2"/>
        <v>4.3688999999999999E-2</v>
      </c>
      <c r="Z13" s="10">
        <f t="shared" si="11"/>
        <v>4.3688999999999999E-2</v>
      </c>
      <c r="AA13" s="10">
        <f t="shared" si="12"/>
        <v>4.1154282397899153E-3</v>
      </c>
      <c r="AB13" s="10">
        <f t="shared" si="3"/>
        <v>1.2068779648532667E-2</v>
      </c>
      <c r="AC13" s="10">
        <f t="shared" si="19"/>
        <v>5.3449582653852263E-3</v>
      </c>
      <c r="AD13" s="10">
        <f t="shared" si="13"/>
        <v>4.1154282397899153E-3</v>
      </c>
      <c r="AE13" s="10">
        <f t="shared" si="4"/>
        <v>1.2068779648532667E-2</v>
      </c>
      <c r="AF13" s="10">
        <f t="shared" si="5"/>
        <v>-3.4000000000000002E-2</v>
      </c>
      <c r="AG13" s="10">
        <f t="shared" si="6"/>
        <v>9.6889999999999962E-3</v>
      </c>
      <c r="AH13" s="10">
        <f t="shared" si="7"/>
        <v>-2.9884571760210088E-2</v>
      </c>
      <c r="AI13" s="10">
        <f t="shared" si="14"/>
        <v>-2.8655041734614778E-2</v>
      </c>
      <c r="AJ13" s="10">
        <f t="shared" si="8"/>
        <v>-7.2213986012804182E-2</v>
      </c>
      <c r="AK13" s="10">
        <f t="shared" si="15"/>
        <v>-5.8344041734614778E-2</v>
      </c>
      <c r="AL13" s="10">
        <f t="shared" si="20"/>
        <v>8.4893365131922971E-2</v>
      </c>
      <c r="AM13" s="10">
        <f t="shared" si="17"/>
        <v>0.41786193734051424</v>
      </c>
      <c r="AN13" s="10">
        <f t="shared" si="10"/>
        <v>4.4790743056126049E-2</v>
      </c>
      <c r="AO13" s="10">
        <f t="shared" si="18"/>
        <v>0.38881299864401325</v>
      </c>
      <c r="AQ13" s="12">
        <v>0.6</v>
      </c>
    </row>
    <row r="14" spans="1:43" ht="15.75" customHeight="1">
      <c r="A14" s="6">
        <f>'CPB Data'!A14:A65</f>
        <v>1983</v>
      </c>
      <c r="B14" s="7">
        <v>0</v>
      </c>
      <c r="C14" s="13">
        <v>0.03</v>
      </c>
      <c r="D14" s="13"/>
      <c r="E14" s="13"/>
      <c r="H14" s="9"/>
      <c r="I14" s="9"/>
      <c r="J14" s="10">
        <f>'CPB Data'!D14</f>
        <v>2.0000000000000001E-4</v>
      </c>
      <c r="L14" s="10">
        <f>'CPB Data'!G14/100</f>
        <v>0.59099999999999997</v>
      </c>
      <c r="M14" s="10">
        <f>'CPB Data'!C14</f>
        <v>3.4299999999999997E-2</v>
      </c>
      <c r="N14" s="10">
        <f>'CPB Data'!B14</f>
        <v>9.9299999999999999E-2</v>
      </c>
      <c r="O14" s="10">
        <f>'Marktrente NL'!C25</f>
        <v>8.6110000000000006E-2</v>
      </c>
      <c r="P14" s="10">
        <f t="shared" si="0"/>
        <v>-1.3189999999999993E-2</v>
      </c>
      <c r="Q14" s="10">
        <f>MEDIAN(Inflatie!B14:B22)/100</f>
        <v>6.5000000000000002E-2</v>
      </c>
      <c r="R14" s="10">
        <f t="shared" si="1"/>
        <v>-5.8486299999999998E-2</v>
      </c>
      <c r="U14" s="10">
        <f>'AMECO Potential GDP'!C22</f>
        <v>1.5240328253223856E-2</v>
      </c>
      <c r="V14" s="10">
        <f>'AMECO Output Gap'!B20/100</f>
        <v>-2.8999999999999998E-2</v>
      </c>
      <c r="Y14" s="11">
        <f t="shared" si="2"/>
        <v>4.8686299999999995E-2</v>
      </c>
      <c r="Z14" s="10">
        <f t="shared" si="11"/>
        <v>4.3688999999999999E-2</v>
      </c>
      <c r="AA14" s="10">
        <f t="shared" si="12"/>
        <v>9.6394694042915945E-3</v>
      </c>
      <c r="AB14" s="10">
        <f t="shared" si="3"/>
        <v>1.2068779648532667E-2</v>
      </c>
      <c r="AC14" s="10">
        <f t="shared" si="19"/>
        <v>1.2226332019590731E-2</v>
      </c>
      <c r="AD14" s="10">
        <f t="shared" si="13"/>
        <v>4.1154282397899153E-3</v>
      </c>
      <c r="AE14" s="10">
        <f t="shared" si="4"/>
        <v>1.2068779648532667E-2</v>
      </c>
      <c r="AF14" s="10">
        <f t="shared" si="5"/>
        <v>-2.8999999999999998E-2</v>
      </c>
      <c r="AG14" s="10">
        <f t="shared" si="6"/>
        <v>1.4689000000000001E-2</v>
      </c>
      <c r="AH14" s="10">
        <f t="shared" si="7"/>
        <v>-2.4884571760210084E-2</v>
      </c>
      <c r="AI14" s="10">
        <f t="shared" si="14"/>
        <v>-1.6773667980409267E-2</v>
      </c>
      <c r="AJ14" s="10">
        <f t="shared" si="8"/>
        <v>-7.1375001817474609E-2</v>
      </c>
      <c r="AK14" s="10">
        <f t="shared" si="15"/>
        <v>-7.6459967980409271E-2</v>
      </c>
      <c r="AL14" s="10">
        <f t="shared" si="20"/>
        <v>7.6026565106374289E-2</v>
      </c>
      <c r="AM14" s="10">
        <f t="shared" si="17"/>
        <v>0.4681815715736608</v>
      </c>
      <c r="AN14" s="10">
        <f t="shared" si="10"/>
        <v>4.9350743056126044E-2</v>
      </c>
      <c r="AO14" s="10">
        <f t="shared" si="18"/>
        <v>0.43103481287131618</v>
      </c>
      <c r="AQ14" s="12">
        <v>0.6</v>
      </c>
    </row>
    <row r="15" spans="1:43" ht="15.75" customHeight="1">
      <c r="A15" s="6">
        <f>'CPB Data'!A15:A66</f>
        <v>1984</v>
      </c>
      <c r="B15" s="7">
        <v>0</v>
      </c>
      <c r="C15" s="13">
        <v>0.02</v>
      </c>
      <c r="D15" s="13"/>
      <c r="E15" s="13"/>
      <c r="H15" s="9"/>
      <c r="I15" s="9"/>
      <c r="J15" s="10">
        <f>'CPB Data'!D15</f>
        <v>6.0000000000000001E-3</v>
      </c>
      <c r="L15" s="10">
        <f>'CPB Data'!G15/100</f>
        <v>0.626</v>
      </c>
      <c r="M15" s="10">
        <f>'CPB Data'!C15</f>
        <v>5.4699999999999999E-2</v>
      </c>
      <c r="N15" s="10">
        <f>'CPB Data'!B15</f>
        <v>9.4600000000000004E-2</v>
      </c>
      <c r="O15" s="10">
        <f>'Marktrente NL'!C26</f>
        <v>8.3279999999999993E-2</v>
      </c>
      <c r="P15" s="10">
        <f t="shared" si="0"/>
        <v>-1.1320000000000011E-2</v>
      </c>
      <c r="Q15" s="10">
        <f>MEDIAN(Inflatie!B15:B23)/100</f>
        <v>0.06</v>
      </c>
      <c r="R15" s="10">
        <f t="shared" si="1"/>
        <v>-5.3219600000000006E-2</v>
      </c>
      <c r="U15" s="10">
        <f>'AMECO Potential GDP'!C23</f>
        <v>1.2702078521940052E-2</v>
      </c>
      <c r="V15" s="10">
        <f>'AMECO Output Gap'!B21/100</f>
        <v>-1.2E-2</v>
      </c>
      <c r="Y15" s="11">
        <f t="shared" si="2"/>
        <v>4.9219600000000002E-2</v>
      </c>
      <c r="Z15" s="10">
        <f t="shared" si="11"/>
        <v>4.3688999999999999E-2</v>
      </c>
      <c r="AA15" s="10">
        <f t="shared" si="12"/>
        <v>8.2605572470277212E-3</v>
      </c>
      <c r="AB15" s="10">
        <f t="shared" si="3"/>
        <v>1.2068779648532667E-2</v>
      </c>
      <c r="AC15" s="10">
        <f t="shared" si="19"/>
        <v>1.0427555524203885E-2</v>
      </c>
      <c r="AD15" s="10">
        <f t="shared" si="13"/>
        <v>4.1154282397899153E-3</v>
      </c>
      <c r="AE15" s="10">
        <f t="shared" si="4"/>
        <v>1.2068779648532667E-2</v>
      </c>
      <c r="AF15" s="10">
        <f t="shared" si="5"/>
        <v>-1.2E-2</v>
      </c>
      <c r="AG15" s="10">
        <f t="shared" si="6"/>
        <v>3.1688999999999995E-2</v>
      </c>
      <c r="AH15" s="10">
        <f t="shared" si="7"/>
        <v>-7.8845717602100858E-3</v>
      </c>
      <c r="AI15" s="10">
        <f t="shared" si="14"/>
        <v>-1.5724444757961153E-3</v>
      </c>
      <c r="AJ15" s="10">
        <f t="shared" si="8"/>
        <v>-5.4557264423951743E-2</v>
      </c>
      <c r="AK15" s="10">
        <f t="shared" si="15"/>
        <v>-6.8792044475796121E-2</v>
      </c>
      <c r="AL15" s="10">
        <f t="shared" si="20"/>
        <v>4.8857189879053096E-2</v>
      </c>
      <c r="AM15" s="10">
        <f t="shared" si="17"/>
        <v>0.49336884422559896</v>
      </c>
      <c r="AN15" s="10">
        <f t="shared" si="10"/>
        <v>6.3030743056126048E-2</v>
      </c>
      <c r="AO15" s="10">
        <f t="shared" si="18"/>
        <v>0.45125249769359282</v>
      </c>
      <c r="AQ15" s="12">
        <v>0.6</v>
      </c>
    </row>
    <row r="16" spans="1:43" ht="15.75" customHeight="1">
      <c r="A16" s="6">
        <f>'CPB Data'!A16:A67</f>
        <v>1985</v>
      </c>
      <c r="B16" s="7">
        <v>0</v>
      </c>
      <c r="C16" s="13">
        <v>0.04</v>
      </c>
      <c r="D16" s="13"/>
      <c r="E16" s="13"/>
      <c r="H16" s="9"/>
      <c r="I16" s="9"/>
      <c r="J16" s="10">
        <f>'CPB Data'!D16</f>
        <v>2.4400000000000002E-2</v>
      </c>
      <c r="L16" s="10">
        <f>'CPB Data'!G16/100</f>
        <v>0.68</v>
      </c>
      <c r="M16" s="10">
        <f>'CPB Data'!C16</f>
        <v>3.4200000000000001E-2</v>
      </c>
      <c r="N16" s="10">
        <f>'CPB Data'!B16</f>
        <v>9.3899999999999997E-2</v>
      </c>
      <c r="O16" s="10">
        <f>'Marktrente NL'!C27</f>
        <v>7.3279999999999998E-2</v>
      </c>
      <c r="P16" s="10">
        <f t="shared" si="0"/>
        <v>-2.0619999999999999E-2</v>
      </c>
      <c r="Q16" s="10">
        <f>MEDIAN(Inflatie!B16:B24)/100</f>
        <v>4.2000000000000003E-2</v>
      </c>
      <c r="R16" s="10">
        <f t="shared" si="1"/>
        <v>-3.9452000000000001E-2</v>
      </c>
      <c r="U16" s="10">
        <f>'AMECO Potential GDP'!C24</f>
        <v>1.7103762827822111E-2</v>
      </c>
      <c r="V16" s="10">
        <f>'AMECO Output Gap'!B22/100</f>
        <v>-4.0000000000000001E-3</v>
      </c>
      <c r="Y16" s="11">
        <f t="shared" si="2"/>
        <v>5.3852000000000004E-2</v>
      </c>
      <c r="Z16" s="10">
        <f t="shared" si="11"/>
        <v>4.3688999999999999E-2</v>
      </c>
      <c r="AA16" s="10">
        <f t="shared" si="12"/>
        <v>1.0071530974806764E-2</v>
      </c>
      <c r="AB16" s="10">
        <f t="shared" si="3"/>
        <v>1.2068779648532667E-2</v>
      </c>
      <c r="AC16" s="10">
        <f t="shared" si="19"/>
        <v>1.2779036341715361E-2</v>
      </c>
      <c r="AD16" s="10">
        <f t="shared" si="13"/>
        <v>4.1154282397899153E-3</v>
      </c>
      <c r="AE16" s="10">
        <f t="shared" si="4"/>
        <v>1.2068779648532667E-2</v>
      </c>
      <c r="AF16" s="10">
        <f t="shared" si="5"/>
        <v>-4.0000000000000001E-3</v>
      </c>
      <c r="AG16" s="10">
        <f t="shared" si="6"/>
        <v>3.9689000000000002E-2</v>
      </c>
      <c r="AH16" s="10">
        <f t="shared" si="7"/>
        <v>1.1542823978991524E-4</v>
      </c>
      <c r="AI16" s="10">
        <f t="shared" si="14"/>
        <v>8.7790363417153613E-3</v>
      </c>
      <c r="AJ16" s="10">
        <f t="shared" si="8"/>
        <v>-4.8875707389741944E-2</v>
      </c>
      <c r="AK16" s="10">
        <f t="shared" si="15"/>
        <v>-9.1072963658284656E-2</v>
      </c>
      <c r="AL16" s="10">
        <f t="shared" si="20"/>
        <v>1.3300986277988959E-2</v>
      </c>
      <c r="AM16" s="10">
        <f t="shared" si="17"/>
        <v>0.5217373336478367</v>
      </c>
      <c r="AN16" s="10">
        <f t="shared" si="10"/>
        <v>4.8770743056126054E-2</v>
      </c>
      <c r="AO16" s="10">
        <f t="shared" si="18"/>
        <v>0.47056011264114805</v>
      </c>
      <c r="AQ16" s="12">
        <v>0.6</v>
      </c>
    </row>
    <row r="17" spans="1:43" ht="15.75" customHeight="1">
      <c r="A17" s="6">
        <f>'CPB Data'!A17:A68</f>
        <v>1986</v>
      </c>
      <c r="B17" s="7">
        <v>1</v>
      </c>
      <c r="C17" s="13">
        <v>0</v>
      </c>
      <c r="D17" s="13"/>
      <c r="E17" s="13"/>
      <c r="H17" s="9"/>
      <c r="I17" s="9"/>
      <c r="J17" s="10">
        <f>'CPB Data'!D17</f>
        <v>1.4500000000000001E-2</v>
      </c>
      <c r="L17" s="10">
        <f>'CPB Data'!G17/100</f>
        <v>0.69499999999999995</v>
      </c>
      <c r="M17" s="10">
        <f>'CPB Data'!C17</f>
        <v>3.4200000000000001E-2</v>
      </c>
      <c r="N17" s="10">
        <f>'CPB Data'!B17</f>
        <v>8.6300000000000002E-2</v>
      </c>
      <c r="O17" s="10">
        <f>'Marktrente NL'!C28</f>
        <v>6.318E-2</v>
      </c>
      <c r="P17" s="10">
        <f t="shared" si="0"/>
        <v>-2.3120000000000002E-2</v>
      </c>
      <c r="Q17" s="10">
        <f>MEDIAN(Inflatie!B17:B25)/100</f>
        <v>4.0999999999999995E-2</v>
      </c>
      <c r="R17" s="10">
        <f t="shared" si="1"/>
        <v>-4.5478499999999998E-2</v>
      </c>
      <c r="U17" s="10">
        <f>'AMECO Potential GDP'!C25</f>
        <v>2.1020179372197356E-2</v>
      </c>
      <c r="V17" s="10">
        <f>'AMECO Output Gap'!B23/100</f>
        <v>3.0000000000000001E-3</v>
      </c>
      <c r="Y17" s="11">
        <f t="shared" si="2"/>
        <v>4.9978499999999995E-2</v>
      </c>
      <c r="Z17" s="10">
        <f t="shared" si="11"/>
        <v>4.9978499999999995E-2</v>
      </c>
      <c r="AA17" s="10">
        <f t="shared" si="12"/>
        <v>1.714137617141227E-2</v>
      </c>
      <c r="AB17" s="10">
        <f t="shared" si="3"/>
        <v>7.5900190220441473E-4</v>
      </c>
      <c r="AC17" s="10">
        <f t="shared" si="19"/>
        <v>2.2341003882286919E-2</v>
      </c>
      <c r="AD17" s="10">
        <f t="shared" si="13"/>
        <v>1.714137617141227E-2</v>
      </c>
      <c r="AE17" s="10">
        <f t="shared" si="4"/>
        <v>7.5900190220441473E-4</v>
      </c>
      <c r="AF17" s="10">
        <f t="shared" si="5"/>
        <v>3.0000000000000001E-3</v>
      </c>
      <c r="AG17" s="10">
        <f t="shared" si="6"/>
        <v>5.2978499999999998E-2</v>
      </c>
      <c r="AH17" s="10">
        <f t="shared" si="7"/>
        <v>2.0141376171412269E-2</v>
      </c>
      <c r="AI17" s="10">
        <f t="shared" si="14"/>
        <v>2.5341003882286918E-2</v>
      </c>
      <c r="AJ17" s="10">
        <f t="shared" si="8"/>
        <v>-2.5472111599474483E-2</v>
      </c>
      <c r="AK17" s="10">
        <f t="shared" si="15"/>
        <v>-3.7637496117713082E-2</v>
      </c>
      <c r="AL17" s="10">
        <f t="shared" si="20"/>
        <v>-3.7255500489480363E-2</v>
      </c>
      <c r="AM17" s="10">
        <f t="shared" si="17"/>
        <v>0.52854562886311418</v>
      </c>
      <c r="AN17" s="10">
        <f t="shared" si="10"/>
        <v>3.081517429715264E-2</v>
      </c>
      <c r="AO17" s="10">
        <f t="shared" si="18"/>
        <v>0.47634928785896818</v>
      </c>
      <c r="AQ17" s="12">
        <v>0.6</v>
      </c>
    </row>
    <row r="18" spans="1:43" ht="15.75" customHeight="1">
      <c r="A18" s="6">
        <f>'CPB Data'!A18:A69</f>
        <v>1987</v>
      </c>
      <c r="B18" s="7">
        <v>0</v>
      </c>
      <c r="C18" s="13">
        <v>-0.02</v>
      </c>
      <c r="D18" s="13"/>
      <c r="E18" s="13"/>
      <c r="H18" s="9"/>
      <c r="I18" s="9"/>
      <c r="J18" s="10">
        <f>'CPB Data'!D18</f>
        <v>6.4999999999999997E-3</v>
      </c>
      <c r="L18" s="10">
        <f>'CPB Data'!G18/100</f>
        <v>0.71499999999999997</v>
      </c>
      <c r="M18" s="10">
        <f>'CPB Data'!C18</f>
        <v>1.29E-2</v>
      </c>
      <c r="N18" s="10">
        <f>'CPB Data'!B18</f>
        <v>8.2900000000000001E-2</v>
      </c>
      <c r="O18" s="10">
        <f>'Marktrente NL'!C29</f>
        <v>6.402999999999999E-2</v>
      </c>
      <c r="P18" s="10">
        <f t="shared" si="0"/>
        <v>-1.8870000000000012E-2</v>
      </c>
      <c r="Q18" s="10">
        <f>MEDIAN(Inflatie!B18:B26)/100</f>
        <v>3.3000000000000002E-2</v>
      </c>
      <c r="R18" s="10">
        <f t="shared" si="1"/>
        <v>-5.2773500000000001E-2</v>
      </c>
      <c r="U18" s="10">
        <f>'AMECO Potential GDP'!C26</f>
        <v>2.2783420258029041E-2</v>
      </c>
      <c r="V18" s="10">
        <f>'AMECO Output Gap'!B24/100</f>
        <v>0</v>
      </c>
      <c r="Y18" s="11">
        <f t="shared" si="2"/>
        <v>4.9273499999999998E-2</v>
      </c>
      <c r="Z18" s="10">
        <f t="shared" si="11"/>
        <v>4.9978499999999995E-2</v>
      </c>
      <c r="AA18" s="10">
        <f t="shared" si="12"/>
        <v>1.2083568007146307E-2</v>
      </c>
      <c r="AB18" s="10">
        <f t="shared" si="3"/>
        <v>7.5900190220441473E-4</v>
      </c>
      <c r="AC18" s="10">
        <f t="shared" si="19"/>
        <v>1.5889034562693673E-2</v>
      </c>
      <c r="AD18" s="10">
        <f t="shared" si="13"/>
        <v>1.714137617141227E-2</v>
      </c>
      <c r="AE18" s="10">
        <f t="shared" si="4"/>
        <v>7.5900190220441473E-4</v>
      </c>
      <c r="AF18" s="10">
        <f t="shared" si="5"/>
        <v>0</v>
      </c>
      <c r="AG18" s="10">
        <f t="shared" si="6"/>
        <v>4.9978499999999995E-2</v>
      </c>
      <c r="AH18" s="10">
        <f t="shared" si="7"/>
        <v>1.714137617141227E-2</v>
      </c>
      <c r="AI18" s="10">
        <f t="shared" si="14"/>
        <v>1.5889034562693673E-2</v>
      </c>
      <c r="AJ18" s="10">
        <f t="shared" si="8"/>
        <v>-2.8300222025248064E-2</v>
      </c>
      <c r="AK18" s="10">
        <f t="shared" si="15"/>
        <v>-2.3384465437306327E-2</v>
      </c>
      <c r="AL18" s="10">
        <f t="shared" si="20"/>
        <v>-8.9172160608212356E-2</v>
      </c>
      <c r="AM18" s="10">
        <f t="shared" si="17"/>
        <v>0.54814955605139126</v>
      </c>
      <c r="AN18" s="10">
        <f t="shared" si="10"/>
        <v>6.5151742971526379E-3</v>
      </c>
      <c r="AO18" s="10">
        <f t="shared" si="18"/>
        <v>0.49546919945772666</v>
      </c>
      <c r="AQ18" s="12">
        <v>0.6</v>
      </c>
    </row>
    <row r="19" spans="1:43" ht="15.75" customHeight="1">
      <c r="A19" s="6">
        <f>'CPB Data'!A19:A70</f>
        <v>1988</v>
      </c>
      <c r="B19" s="7">
        <v>0</v>
      </c>
      <c r="C19" s="13">
        <v>0.02</v>
      </c>
      <c r="D19" s="13"/>
      <c r="E19" s="13"/>
      <c r="H19" s="9"/>
      <c r="I19" s="9"/>
      <c r="J19" s="10">
        <f>'CPB Data'!D19</f>
        <v>1.67E-2</v>
      </c>
      <c r="L19" s="10">
        <f>'CPB Data'!G19/100</f>
        <v>0.73799999999999999</v>
      </c>
      <c r="M19" s="10">
        <f>'CPB Data'!C19</f>
        <v>4.6399999999999997E-2</v>
      </c>
      <c r="N19" s="10">
        <f>'CPB Data'!B19</f>
        <v>7.9200000000000007E-2</v>
      </c>
      <c r="O19" s="10">
        <f>'Marktrente NL'!C30</f>
        <v>6.4160000000000009E-2</v>
      </c>
      <c r="P19" s="10">
        <f t="shared" si="0"/>
        <v>-1.5039999999999998E-2</v>
      </c>
      <c r="Q19" s="10">
        <f>MEDIAN(Inflatie!B19:B27)/100</f>
        <v>2.7999999999999997E-2</v>
      </c>
      <c r="R19" s="10">
        <f t="shared" si="1"/>
        <v>-4.1749600000000005E-2</v>
      </c>
      <c r="U19" s="10">
        <f>'AMECO Potential GDP'!C27</f>
        <v>2.7106816961889324E-2</v>
      </c>
      <c r="V19" s="10">
        <f>'AMECO Output Gap'!B25/100</f>
        <v>6.9999999999999993E-3</v>
      </c>
      <c r="Y19" s="11">
        <f t="shared" si="2"/>
        <v>4.8449600000000002E-2</v>
      </c>
      <c r="Z19" s="10">
        <f t="shared" si="11"/>
        <v>4.9978499999999995E-2</v>
      </c>
      <c r="AA19" s="10">
        <f t="shared" si="12"/>
        <v>1.4078589284496288E-2</v>
      </c>
      <c r="AB19" s="10">
        <f t="shared" si="3"/>
        <v>7.5900190220441473E-4</v>
      </c>
      <c r="AC19" s="10">
        <f t="shared" si="19"/>
        <v>1.836395054467781E-2</v>
      </c>
      <c r="AD19" s="10">
        <f t="shared" si="13"/>
        <v>1.714137617141227E-2</v>
      </c>
      <c r="AE19" s="10">
        <f t="shared" si="4"/>
        <v>7.5900190220441473E-4</v>
      </c>
      <c r="AF19" s="10">
        <f t="shared" si="5"/>
        <v>6.9999999999999993E-3</v>
      </c>
      <c r="AG19" s="10">
        <f t="shared" si="6"/>
        <v>5.6978499999999994E-2</v>
      </c>
      <c r="AH19" s="10">
        <f t="shared" si="7"/>
        <v>2.4141376171412269E-2</v>
      </c>
      <c r="AI19" s="10">
        <f t="shared" si="14"/>
        <v>2.5363950544677809E-2</v>
      </c>
      <c r="AJ19" s="10">
        <f t="shared" si="8"/>
        <v>-1.8805673405962103E-2</v>
      </c>
      <c r="AK19" s="10">
        <f t="shared" si="15"/>
        <v>-6.0085649455322201E-2</v>
      </c>
      <c r="AL19" s="10">
        <f t="shared" si="20"/>
        <v>-0.14641924285969302</v>
      </c>
      <c r="AM19" s="10">
        <f t="shared" si="17"/>
        <v>0.54226072698705008</v>
      </c>
      <c r="AN19" s="10">
        <f t="shared" si="10"/>
        <v>4.1935174297152635E-2</v>
      </c>
      <c r="AO19" s="10">
        <f t="shared" si="18"/>
        <v>0.49001991340562584</v>
      </c>
      <c r="AQ19" s="12">
        <v>0.6</v>
      </c>
    </row>
    <row r="20" spans="1:43" ht="15.75" customHeight="1">
      <c r="A20" s="6">
        <f>'CPB Data'!A20:A71</f>
        <v>1989</v>
      </c>
      <c r="B20" s="7">
        <v>1</v>
      </c>
      <c r="C20" s="13">
        <v>0</v>
      </c>
      <c r="D20" s="13"/>
      <c r="E20" s="13"/>
      <c r="H20" s="9"/>
      <c r="I20" s="9"/>
      <c r="J20" s="10">
        <f>'CPB Data'!D20</f>
        <v>6.6E-3</v>
      </c>
      <c r="L20" s="10">
        <f>'CPB Data'!G20/100</f>
        <v>0.73799999999999999</v>
      </c>
      <c r="M20" s="10">
        <f>'CPB Data'!C20</f>
        <v>5.8599999999999999E-2</v>
      </c>
      <c r="N20" s="10">
        <f>'CPB Data'!B20</f>
        <v>7.2999999999999995E-2</v>
      </c>
      <c r="O20" s="10">
        <f>'Marktrente NL'!C31</f>
        <v>7.2179999999999994E-2</v>
      </c>
      <c r="P20" s="10">
        <f t="shared" si="0"/>
        <v>-8.2000000000000128E-4</v>
      </c>
      <c r="Q20" s="10">
        <f>MEDIAN(Inflatie!B20:B28)/100</f>
        <v>2.3E-2</v>
      </c>
      <c r="R20" s="10">
        <f t="shared" si="1"/>
        <v>-4.7273999999999997E-2</v>
      </c>
      <c r="U20" s="10">
        <f>'AMECO Potential GDP'!C28</f>
        <v>2.9788345962895368E-2</v>
      </c>
      <c r="V20" s="10">
        <f>'AMECO Output Gap'!B26/100</f>
        <v>2.1000000000000001E-2</v>
      </c>
      <c r="Y20" s="11">
        <f t="shared" si="2"/>
        <v>4.3873999999999996E-2</v>
      </c>
      <c r="Z20" s="10">
        <f t="shared" si="11"/>
        <v>4.3873999999999996E-2</v>
      </c>
      <c r="AA20" s="10">
        <f t="shared" si="12"/>
        <v>1.238243061237833E-2</v>
      </c>
      <c r="AB20" s="10">
        <f t="shared" si="3"/>
        <v>1.3593464188943014E-2</v>
      </c>
      <c r="AC20" s="10">
        <f t="shared" si="19"/>
        <v>1.6852103309619618E-2</v>
      </c>
      <c r="AD20" s="10">
        <f t="shared" si="13"/>
        <v>1.238243061237833E-2</v>
      </c>
      <c r="AE20" s="10">
        <f t="shared" si="4"/>
        <v>1.3593464188943014E-2</v>
      </c>
      <c r="AF20" s="10">
        <f t="shared" si="5"/>
        <v>2.1000000000000001E-2</v>
      </c>
      <c r="AG20" s="10">
        <f t="shared" si="6"/>
        <v>6.4874000000000001E-2</v>
      </c>
      <c r="AH20" s="10">
        <f t="shared" si="7"/>
        <v>3.3382430612378333E-2</v>
      </c>
      <c r="AI20" s="10">
        <f t="shared" si="14"/>
        <v>3.785210330961962E-2</v>
      </c>
      <c r="AJ20" s="10">
        <f t="shared" si="8"/>
        <v>-4.4390534698671089E-3</v>
      </c>
      <c r="AK20" s="10">
        <f t="shared" si="15"/>
        <v>-3.7021896690380376E-2</v>
      </c>
      <c r="AL20" s="10">
        <f t="shared" si="20"/>
        <v>-0.20969379141172359</v>
      </c>
      <c r="AM20" s="10">
        <f t="shared" si="17"/>
        <v>0.51810252167459514</v>
      </c>
      <c r="AN20" s="10">
        <f t="shared" si="10"/>
        <v>4.2530541632572999E-2</v>
      </c>
      <c r="AO20" s="10">
        <f t="shared" si="18"/>
        <v>0.47232087388131566</v>
      </c>
      <c r="AQ20" s="12">
        <v>0.6</v>
      </c>
    </row>
    <row r="21" spans="1:43" ht="15.75" customHeight="1">
      <c r="A21" s="6">
        <f>'CPB Data'!A21:A72</f>
        <v>1990</v>
      </c>
      <c r="B21" s="7">
        <v>0</v>
      </c>
      <c r="C21" s="13">
        <v>0</v>
      </c>
      <c r="D21" s="13"/>
      <c r="E21" s="13"/>
      <c r="H21" s="9"/>
      <c r="I21" s="9"/>
      <c r="J21" s="10">
        <f>'CPB Data'!D21</f>
        <v>4.1999999999999997E-3</v>
      </c>
      <c r="L21" s="10">
        <f>'CPB Data'!G21/100</f>
        <v>0.74</v>
      </c>
      <c r="M21" s="10">
        <f>'CPB Data'!C21</f>
        <v>5.7700000000000001E-2</v>
      </c>
      <c r="N21" s="10">
        <f>'CPB Data'!B21</f>
        <v>7.3800000000000004E-2</v>
      </c>
      <c r="O21" s="10">
        <f>'Marktrente NL'!C32</f>
        <v>8.9209999999999998E-2</v>
      </c>
      <c r="P21" s="10">
        <f t="shared" si="0"/>
        <v>1.5409999999999993E-2</v>
      </c>
      <c r="Q21" s="10">
        <f>MEDIAN(Inflatie!B21:B29)/100</f>
        <v>2.3E-2</v>
      </c>
      <c r="R21" s="10">
        <f t="shared" si="1"/>
        <v>-5.0411999999999998E-2</v>
      </c>
      <c r="U21" s="10">
        <f>'AMECO Potential GDP'!C29</f>
        <v>3.0956609997462525E-2</v>
      </c>
      <c r="V21" s="10">
        <f>'AMECO Output Gap'!B27/100</f>
        <v>3.2000000000000001E-2</v>
      </c>
      <c r="Y21" s="11">
        <f t="shared" si="2"/>
        <v>4.4611999999999999E-2</v>
      </c>
      <c r="Z21" s="10">
        <f t="shared" si="11"/>
        <v>4.3873999999999996E-2</v>
      </c>
      <c r="AA21" s="10">
        <f t="shared" si="12"/>
        <v>9.9466421375142035E-3</v>
      </c>
      <c r="AB21" s="10">
        <f t="shared" si="3"/>
        <v>1.3593464188943014E-2</v>
      </c>
      <c r="AC21" s="10">
        <f t="shared" si="19"/>
        <v>1.4168280582305117E-2</v>
      </c>
      <c r="AD21" s="10">
        <f t="shared" si="13"/>
        <v>1.238243061237833E-2</v>
      </c>
      <c r="AE21" s="10">
        <f t="shared" si="4"/>
        <v>1.3593464188943014E-2</v>
      </c>
      <c r="AF21" s="10">
        <f t="shared" si="5"/>
        <v>3.2000000000000001E-2</v>
      </c>
      <c r="AG21" s="10">
        <f t="shared" si="6"/>
        <v>7.5873999999999997E-2</v>
      </c>
      <c r="AH21" s="10">
        <f t="shared" si="7"/>
        <v>4.4382430612378329E-2</v>
      </c>
      <c r="AI21" s="10">
        <f t="shared" si="14"/>
        <v>4.616828058230512E-2</v>
      </c>
      <c r="AJ21" s="10">
        <f t="shared" si="8"/>
        <v>8.6611892220587877E-3</v>
      </c>
      <c r="AK21" s="10">
        <f t="shared" si="15"/>
        <v>-4.0443719417694882E-2</v>
      </c>
      <c r="AL21" s="10">
        <f t="shared" si="20"/>
        <v>-0.28462058543812874</v>
      </c>
      <c r="AM21" s="10">
        <f t="shared" si="17"/>
        <v>0.48402766111544093</v>
      </c>
      <c r="AN21" s="10">
        <f t="shared" si="10"/>
        <v>3.3590541632573009E-2</v>
      </c>
      <c r="AO21" s="10">
        <f t="shared" si="18"/>
        <v>0.4477553780923586</v>
      </c>
      <c r="AQ21" s="12">
        <v>0.6</v>
      </c>
    </row>
    <row r="22" spans="1:43" ht="15.75" customHeight="1">
      <c r="A22" s="6">
        <f>'CPB Data'!A22:A73</f>
        <v>1991</v>
      </c>
      <c r="B22" s="7">
        <v>0</v>
      </c>
      <c r="C22" s="13">
        <v>0.01</v>
      </c>
      <c r="D22" s="13"/>
      <c r="E22" s="13"/>
      <c r="H22" s="9"/>
      <c r="I22" s="9"/>
      <c r="J22" s="10">
        <f>'CPB Data'!D22</f>
        <v>3.1199999999999999E-2</v>
      </c>
      <c r="L22" s="10">
        <f>'CPB Data'!G22/100</f>
        <v>0.73599999999999999</v>
      </c>
      <c r="M22" s="10">
        <f>'CPB Data'!C22</f>
        <v>5.7799999999999997E-2</v>
      </c>
      <c r="N22" s="10">
        <f>'CPB Data'!B22</f>
        <v>7.6300000000000007E-2</v>
      </c>
      <c r="O22" s="10">
        <f>'Marktrente NL'!C33</f>
        <v>8.7390000000000009E-2</v>
      </c>
      <c r="P22" s="10">
        <f t="shared" si="0"/>
        <v>1.1090000000000003E-2</v>
      </c>
      <c r="Q22" s="10">
        <f>MEDIAN(Inflatie!B22:B30)/100</f>
        <v>2.3E-2</v>
      </c>
      <c r="R22" s="10">
        <f t="shared" si="1"/>
        <v>-2.4956800000000008E-2</v>
      </c>
      <c r="U22" s="10">
        <f>'AMECO Potential GDP'!C30</f>
        <v>3.1996062023135652E-2</v>
      </c>
      <c r="V22" s="10">
        <f>'AMECO Output Gap'!B28/100</f>
        <v>2.4E-2</v>
      </c>
      <c r="Y22" s="11">
        <f t="shared" si="2"/>
        <v>4.6156800000000005E-2</v>
      </c>
      <c r="Z22" s="10">
        <f t="shared" si="11"/>
        <v>4.3873999999999996E-2</v>
      </c>
      <c r="AA22" s="10">
        <f t="shared" si="12"/>
        <v>9.1130408599580937E-3</v>
      </c>
      <c r="AB22" s="10">
        <f t="shared" si="3"/>
        <v>1.3593464188943014E-2</v>
      </c>
      <c r="AC22" s="10">
        <f t="shared" si="19"/>
        <v>1.3932365395870679E-2</v>
      </c>
      <c r="AD22" s="10">
        <f t="shared" si="13"/>
        <v>1.238243061237833E-2</v>
      </c>
      <c r="AE22" s="10">
        <f t="shared" si="4"/>
        <v>1.3593464188943014E-2</v>
      </c>
      <c r="AF22" s="10">
        <f t="shared" si="5"/>
        <v>2.4E-2</v>
      </c>
      <c r="AG22" s="10">
        <f t="shared" si="6"/>
        <v>6.787399999999999E-2</v>
      </c>
      <c r="AH22" s="10">
        <f t="shared" si="7"/>
        <v>3.6382430612378329E-2</v>
      </c>
      <c r="AI22" s="10">
        <f t="shared" si="14"/>
        <v>3.7932365395870679E-2</v>
      </c>
      <c r="AJ22" s="10">
        <f t="shared" si="8"/>
        <v>1.4295188314907975E-3</v>
      </c>
      <c r="AK22" s="10">
        <f t="shared" si="15"/>
        <v>-5.222443460412933E-2</v>
      </c>
      <c r="AL22" s="10">
        <f t="shared" si="20"/>
        <v>-0.35376360002557938</v>
      </c>
      <c r="AM22" s="10">
        <f t="shared" si="17"/>
        <v>0.45809845060140925</v>
      </c>
      <c r="AN22" s="10">
        <f t="shared" si="10"/>
        <v>5.4690541632572996E-2</v>
      </c>
      <c r="AO22" s="10">
        <f t="shared" si="18"/>
        <v>0.42243356249196434</v>
      </c>
      <c r="AQ22" s="12">
        <v>0.6</v>
      </c>
    </row>
    <row r="23" spans="1:43" ht="15.75" customHeight="1">
      <c r="A23" s="6">
        <f>'CPB Data'!A23:A74</f>
        <v>1992</v>
      </c>
      <c r="B23" s="7">
        <v>0</v>
      </c>
      <c r="C23" s="13">
        <v>0</v>
      </c>
      <c r="D23" s="13"/>
      <c r="E23" s="13"/>
      <c r="H23" s="9"/>
      <c r="I23" s="9"/>
      <c r="J23" s="10">
        <f>'CPB Data'!D23</f>
        <v>1.9300000000000001E-2</v>
      </c>
      <c r="L23" s="10">
        <f>'CPB Data'!G23/100</f>
        <v>0.74199999999999999</v>
      </c>
      <c r="M23" s="10">
        <f>'CPB Data'!C23</f>
        <v>4.5499999999999999E-2</v>
      </c>
      <c r="N23" s="10">
        <f>'CPB Data'!B23</f>
        <v>7.9399999999999998E-2</v>
      </c>
      <c r="O23" s="10">
        <f>'Marktrente NL'!C34</f>
        <v>8.1029999999999991E-2</v>
      </c>
      <c r="P23" s="10">
        <f t="shared" si="0"/>
        <v>1.6299999999999926E-3</v>
      </c>
      <c r="Q23" s="10">
        <f>MEDIAN(Inflatie!B23:B31)/100</f>
        <v>2.3E-2</v>
      </c>
      <c r="R23" s="10">
        <f t="shared" si="1"/>
        <v>-3.9614799999999992E-2</v>
      </c>
      <c r="U23" s="10">
        <f>'AMECO Potential GDP'!C31</f>
        <v>3.2435010732172476E-2</v>
      </c>
      <c r="V23" s="10">
        <f>'AMECO Output Gap'!B29/100</f>
        <v>9.0000000000000011E-3</v>
      </c>
      <c r="Y23" s="11">
        <f t="shared" si="2"/>
        <v>4.8914799999999994E-2</v>
      </c>
      <c r="Z23" s="10">
        <f t="shared" si="11"/>
        <v>4.3873999999999996E-2</v>
      </c>
      <c r="AA23" s="10">
        <f t="shared" si="12"/>
        <v>9.2505567842547411E-3</v>
      </c>
      <c r="AB23" s="10">
        <f t="shared" si="3"/>
        <v>1.3593464188943014E-2</v>
      </c>
      <c r="AC23" s="10">
        <f t="shared" si="19"/>
        <v>1.4862328794767038E-2</v>
      </c>
      <c r="AD23" s="10">
        <f t="shared" si="13"/>
        <v>1.238243061237833E-2</v>
      </c>
      <c r="AE23" s="10">
        <f t="shared" si="4"/>
        <v>1.3593464188943014E-2</v>
      </c>
      <c r="AF23" s="10">
        <f t="shared" si="5"/>
        <v>9.0000000000000011E-3</v>
      </c>
      <c r="AG23" s="10">
        <f t="shared" si="6"/>
        <v>5.2873999999999997E-2</v>
      </c>
      <c r="AH23" s="10">
        <f t="shared" si="7"/>
        <v>2.1382430612378329E-2</v>
      </c>
      <c r="AI23" s="10">
        <f t="shared" si="14"/>
        <v>2.3862328794767039E-2</v>
      </c>
      <c r="AJ23" s="10">
        <f t="shared" si="8"/>
        <v>-1.4546091181177438E-2</v>
      </c>
      <c r="AK23" s="10">
        <f t="shared" si="15"/>
        <v>-4.4052471205232958E-2</v>
      </c>
      <c r="AL23" s="10">
        <f t="shared" si="20"/>
        <v>-0.41580720216892431</v>
      </c>
      <c r="AM23" s="10">
        <f t="shared" si="17"/>
        <v>0.45250027447803232</v>
      </c>
      <c r="AN23" s="10">
        <f t="shared" si="10"/>
        <v>4.4250541632572998E-2</v>
      </c>
      <c r="AO23" s="10">
        <f t="shared" si="18"/>
        <v>0.41617632877835026</v>
      </c>
      <c r="AQ23" s="12">
        <v>0.6</v>
      </c>
    </row>
    <row r="24" spans="1:43" ht="15.75" customHeight="1">
      <c r="A24" s="6">
        <f>'CPB Data'!A24:A75</f>
        <v>1993</v>
      </c>
      <c r="B24" s="7">
        <v>0</v>
      </c>
      <c r="C24" s="13">
        <v>0.01</v>
      </c>
      <c r="D24" s="13"/>
      <c r="E24" s="13"/>
      <c r="H24" s="9"/>
      <c r="I24" s="9"/>
      <c r="J24" s="10">
        <f>'CPB Data'!D24</f>
        <v>3.0599999999999999E-2</v>
      </c>
      <c r="L24" s="10">
        <f>'CPB Data'!G24/100</f>
        <v>0.75</v>
      </c>
      <c r="M24" s="10">
        <f>'CPB Data'!C24</f>
        <v>3.0200000000000001E-2</v>
      </c>
      <c r="N24" s="10">
        <f>'CPB Data'!B24</f>
        <v>7.6600000000000001E-2</v>
      </c>
      <c r="O24" s="10">
        <f>'Marktrente NL'!C35</f>
        <v>6.3589999999999994E-2</v>
      </c>
      <c r="P24" s="10">
        <f t="shared" si="0"/>
        <v>-1.3010000000000008E-2</v>
      </c>
      <c r="Q24" s="10">
        <f>MEDIAN(Inflatie!B24:B32)/100</f>
        <v>2.1000000000000001E-2</v>
      </c>
      <c r="R24" s="10">
        <f t="shared" si="1"/>
        <v>-2.6850000000000002E-2</v>
      </c>
      <c r="U24" s="10">
        <f>'AMECO Potential GDP'!C32</f>
        <v>3.1416031416031442E-2</v>
      </c>
      <c r="V24" s="10">
        <f>'AMECO Output Gap'!B30/100</f>
        <v>-0.01</v>
      </c>
      <c r="Y24" s="11">
        <f t="shared" si="2"/>
        <v>4.7449999999999999E-2</v>
      </c>
      <c r="Z24" s="10">
        <f t="shared" si="11"/>
        <v>4.3873999999999996E-2</v>
      </c>
      <c r="AA24" s="10">
        <f t="shared" si="12"/>
        <v>1.0274592098316231E-2</v>
      </c>
      <c r="AB24" s="10">
        <f t="shared" si="3"/>
        <v>1.3593464188943014E-2</v>
      </c>
      <c r="AC24" s="10">
        <f t="shared" si="19"/>
        <v>1.6848050193438623E-2</v>
      </c>
      <c r="AD24" s="10">
        <f t="shared" si="13"/>
        <v>1.238243061237833E-2</v>
      </c>
      <c r="AE24" s="10">
        <f t="shared" si="4"/>
        <v>1.3593464188943014E-2</v>
      </c>
      <c r="AF24" s="10">
        <f t="shared" si="5"/>
        <v>-0.01</v>
      </c>
      <c r="AG24" s="10">
        <f t="shared" si="6"/>
        <v>3.3873999999999994E-2</v>
      </c>
      <c r="AH24" s="10">
        <f t="shared" si="7"/>
        <v>2.38243061237833E-3</v>
      </c>
      <c r="AI24" s="10">
        <f t="shared" si="14"/>
        <v>6.8480501934386224E-3</v>
      </c>
      <c r="AJ24" s="10">
        <f t="shared" si="8"/>
        <v>-3.3663093898032681E-2</v>
      </c>
      <c r="AK24" s="10">
        <f t="shared" si="15"/>
        <v>-5.060194980656138E-2</v>
      </c>
      <c r="AL24" s="10">
        <f t="shared" si="20"/>
        <v>-0.46741606858383222</v>
      </c>
      <c r="AM24" s="10">
        <f t="shared" si="17"/>
        <v>0.4705682050967494</v>
      </c>
      <c r="AN24" s="10">
        <f t="shared" si="10"/>
        <v>4.7130541632573006E-2</v>
      </c>
      <c r="AO24" s="10">
        <f t="shared" si="18"/>
        <v>0.4256136052106248</v>
      </c>
      <c r="AQ24" s="12">
        <v>0.6</v>
      </c>
    </row>
    <row r="25" spans="1:43" ht="15.75" customHeight="1">
      <c r="A25" s="6">
        <f>'CPB Data'!A25:A76</f>
        <v>1994</v>
      </c>
      <c r="B25" s="7">
        <v>1</v>
      </c>
      <c r="C25" s="13">
        <v>-0.02</v>
      </c>
      <c r="D25" s="13"/>
      <c r="E25" s="13"/>
      <c r="H25" s="9"/>
      <c r="I25" s="9"/>
      <c r="J25" s="10">
        <f>'CPB Data'!D25</f>
        <v>1.7999999999999999E-2</v>
      </c>
      <c r="L25" s="10">
        <f>'CPB Data'!G25/100</f>
        <v>0.72199999999999998</v>
      </c>
      <c r="M25" s="10">
        <f>'CPB Data'!C25</f>
        <v>5.16E-2</v>
      </c>
      <c r="N25" s="10">
        <f>'CPB Data'!B25</f>
        <v>6.8000000000000005E-2</v>
      </c>
      <c r="O25" s="10">
        <f>'Marktrente NL'!C36</f>
        <v>6.863000000000001E-2</v>
      </c>
      <c r="P25" s="10">
        <f t="shared" si="0"/>
        <v>6.3000000000000556E-4</v>
      </c>
      <c r="Q25" s="10">
        <f>MEDIAN(Inflatie!B25:B33)/100</f>
        <v>2.1000000000000001E-2</v>
      </c>
      <c r="R25" s="10">
        <f t="shared" si="1"/>
        <v>-3.1096000000000002E-2</v>
      </c>
      <c r="U25" s="10">
        <f>'AMECO Potential GDP'!C33</f>
        <v>3.1578947368421151E-2</v>
      </c>
      <c r="V25" s="10">
        <f>'AMECO Output Gap'!B31/100</f>
        <v>-1.1000000000000001E-2</v>
      </c>
      <c r="Y25" s="11">
        <f t="shared" si="2"/>
        <v>3.9095999999999999E-2</v>
      </c>
      <c r="Z25" s="10">
        <f t="shared" si="11"/>
        <v>3.9095999999999999E-2</v>
      </c>
      <c r="AA25" s="10">
        <f t="shared" si="12"/>
        <v>1.0813410618006437E-2</v>
      </c>
      <c r="AB25" s="10">
        <f t="shared" si="3"/>
        <v>1.1009967498374865E-2</v>
      </c>
      <c r="AC25" s="10">
        <f t="shared" si="19"/>
        <v>1.7234606749169101E-2</v>
      </c>
      <c r="AD25" s="10">
        <f t="shared" si="13"/>
        <v>1.0813410618006437E-2</v>
      </c>
      <c r="AE25" s="10">
        <f t="shared" si="4"/>
        <v>1.1009967498374865E-2</v>
      </c>
      <c r="AF25" s="10">
        <f t="shared" si="5"/>
        <v>-1.1000000000000001E-2</v>
      </c>
      <c r="AG25" s="10">
        <f t="shared" si="6"/>
        <v>2.8095999999999996E-2</v>
      </c>
      <c r="AH25" s="10">
        <f t="shared" si="7"/>
        <v>-1.8658938199356441E-4</v>
      </c>
      <c r="AI25" s="10">
        <f t="shared" si="14"/>
        <v>6.2346067491691002E-3</v>
      </c>
      <c r="AJ25" s="10">
        <f t="shared" si="8"/>
        <v>-3.269632065331525E-2</v>
      </c>
      <c r="AK25" s="10">
        <f t="shared" si="15"/>
        <v>-1.1861393250830899E-2</v>
      </c>
      <c r="AL25" s="10">
        <f t="shared" si="20"/>
        <v>-0.50142293766406687</v>
      </c>
      <c r="AM25" s="10">
        <f t="shared" si="17"/>
        <v>0.47808428340178949</v>
      </c>
      <c r="AN25" s="10">
        <f t="shared" si="10"/>
        <v>6.2511953629196135E-2</v>
      </c>
      <c r="AO25" s="10">
        <f t="shared" si="18"/>
        <v>0.42798757999257325</v>
      </c>
      <c r="AQ25" s="12">
        <v>0.6</v>
      </c>
    </row>
    <row r="26" spans="1:43" ht="15.75" customHeight="1">
      <c r="A26" s="6">
        <f>'CPB Data'!A26:A77</f>
        <v>1995</v>
      </c>
      <c r="B26" s="7">
        <v>0</v>
      </c>
      <c r="C26" s="13">
        <v>-0.03</v>
      </c>
      <c r="D26" s="14">
        <f>'Correcties CBS'!C2</f>
        <v>-4.4910774356838497E-2</v>
      </c>
      <c r="E26" s="14">
        <f t="shared" ref="E26:E53" si="21">-D26</f>
        <v>4.4910774356838497E-2</v>
      </c>
      <c r="H26" s="9"/>
      <c r="I26" s="9"/>
      <c r="J26" s="10">
        <f>'CPB Data'!D26</f>
        <v>-3.4000000000000002E-2</v>
      </c>
      <c r="L26" s="10">
        <f>'CPB Data'!G26/100</f>
        <v>0.73499999999999999</v>
      </c>
      <c r="M26" s="10">
        <f>'CPB Data'!C26</f>
        <v>5.3699999999999998E-2</v>
      </c>
      <c r="N26" s="10">
        <f>'CPB Data'!B26</f>
        <v>7.1999999999999995E-2</v>
      </c>
      <c r="O26" s="10">
        <f>'Marktrente NL'!C37</f>
        <v>6.9000000000000006E-2</v>
      </c>
      <c r="P26" s="10">
        <f t="shared" si="0"/>
        <v>-2.9999999999999888E-3</v>
      </c>
      <c r="Q26" s="10">
        <f>MEDIAN(Inflatie!B26:B34)/100</f>
        <v>2.1000000000000001E-2</v>
      </c>
      <c r="R26" s="10">
        <f t="shared" si="1"/>
        <v>-4.20092256431615E-2</v>
      </c>
      <c r="U26" s="10">
        <f>'AMECO Potential GDP'!C34</f>
        <v>3.2783326096395893E-2</v>
      </c>
      <c r="V26" s="10">
        <f>'AMECO Output Gap'!B32/100</f>
        <v>-1.3000000000000001E-2</v>
      </c>
      <c r="Y26" s="11">
        <f t="shared" si="2"/>
        <v>4.2919999999999993E-2</v>
      </c>
      <c r="Z26" s="10">
        <f t="shared" si="11"/>
        <v>3.9095999999999999E-2</v>
      </c>
      <c r="AA26" s="10">
        <f t="shared" si="12"/>
        <v>7.0042849660845842E-3</v>
      </c>
      <c r="AB26" s="10">
        <f t="shared" si="3"/>
        <v>1.1009967498374865E-2</v>
      </c>
      <c r="AC26" s="10">
        <f t="shared" si="19"/>
        <v>1.0577828891444669E-2</v>
      </c>
      <c r="AD26" s="10">
        <f t="shared" si="13"/>
        <v>1.0813410618006437E-2</v>
      </c>
      <c r="AE26" s="10">
        <f t="shared" si="4"/>
        <v>1.1009967498374865E-2</v>
      </c>
      <c r="AF26" s="10">
        <f t="shared" si="5"/>
        <v>-1.3000000000000001E-2</v>
      </c>
      <c r="AG26" s="10">
        <f t="shared" si="6"/>
        <v>2.6095999999999998E-2</v>
      </c>
      <c r="AH26" s="10">
        <f t="shared" si="7"/>
        <v>-2.1865893819935645E-3</v>
      </c>
      <c r="AI26" s="10">
        <f t="shared" si="14"/>
        <v>-2.4221711085553321E-3</v>
      </c>
      <c r="AJ26" s="10">
        <f t="shared" si="8"/>
        <v>1.0623666789502918E-2</v>
      </c>
      <c r="AK26" s="10">
        <f t="shared" si="15"/>
        <v>-1.234217110855533E-2</v>
      </c>
      <c r="AL26" s="10">
        <f t="shared" si="20"/>
        <v>-0.57751937319229207</v>
      </c>
      <c r="AM26" s="10">
        <f t="shared" si="17"/>
        <v>0.44584053035197246</v>
      </c>
      <c r="AN26" s="10">
        <f t="shared" si="10"/>
        <v>3.461195362919614E-2</v>
      </c>
      <c r="AO26" s="10">
        <f t="shared" si="18"/>
        <v>0.40215899238132685</v>
      </c>
      <c r="AQ26" s="12">
        <v>0.6</v>
      </c>
    </row>
    <row r="27" spans="1:43" ht="15.75" customHeight="1">
      <c r="A27" s="6">
        <f>'CPB Data'!A27:A78</f>
        <v>1996</v>
      </c>
      <c r="B27" s="7">
        <v>0</v>
      </c>
      <c r="C27" s="13">
        <v>-0.06</v>
      </c>
      <c r="D27" s="14">
        <f>'Correcties CBS'!C3</f>
        <v>-4.1498099791590047E-3</v>
      </c>
      <c r="E27" s="14">
        <f t="shared" si="21"/>
        <v>4.1498099791590047E-3</v>
      </c>
      <c r="H27" s="9"/>
      <c r="I27" s="9"/>
      <c r="J27" s="10">
        <f>'CPB Data'!D27</f>
        <v>2.9000000000000001E-2</v>
      </c>
      <c r="K27" s="10">
        <f>overheidsuitgaven_nominaal!U3*-1</f>
        <v>8.7869146987895608E-2</v>
      </c>
      <c r="L27" s="10">
        <f>'CPB Data'!G27/100</f>
        <v>0.71400000000000008</v>
      </c>
      <c r="M27" s="10">
        <f>'CPB Data'!C27</f>
        <v>4.5400000000000003E-2</v>
      </c>
      <c r="N27" s="10">
        <f>'CPB Data'!B27</f>
        <v>6.4799999999999996E-2</v>
      </c>
      <c r="O27" s="10">
        <f>'Marktrente NL'!C38</f>
        <v>6.1500000000000006E-2</v>
      </c>
      <c r="P27" s="10">
        <f t="shared" si="0"/>
        <v>-3.2999999999999904E-3</v>
      </c>
      <c r="Q27" s="10">
        <f>MEDIAN(Inflatie!B27:B35)/100</f>
        <v>2.1000000000000001E-2</v>
      </c>
      <c r="R27" s="10">
        <f t="shared" si="1"/>
        <v>-1.3117390020840995E-2</v>
      </c>
      <c r="U27" s="10">
        <f>'AMECO Potential GDP'!C35</f>
        <v>3.4265293252049744E-2</v>
      </c>
      <c r="V27" s="10">
        <f>'AMECO Output Gap'!B33/100</f>
        <v>-1.2E-2</v>
      </c>
      <c r="Y27" s="11">
        <f t="shared" si="2"/>
        <v>3.6267199999999999E-2</v>
      </c>
      <c r="Z27" s="10">
        <f t="shared" si="11"/>
        <v>3.9095999999999999E-2</v>
      </c>
      <c r="AA27" s="10">
        <f t="shared" si="12"/>
        <v>7.7072120551743657E-3</v>
      </c>
      <c r="AB27" s="10">
        <f t="shared" si="3"/>
        <v>1.1009967498374865E-2</v>
      </c>
      <c r="AC27" s="10">
        <f t="shared" si="19"/>
        <v>1.2705890278932324E-2</v>
      </c>
      <c r="AD27" s="10">
        <f t="shared" si="13"/>
        <v>1.0813410618006437E-2</v>
      </c>
      <c r="AE27" s="10">
        <f t="shared" si="4"/>
        <v>1.1009967498374865E-2</v>
      </c>
      <c r="AF27" s="10">
        <f t="shared" si="5"/>
        <v>-1.2E-2</v>
      </c>
      <c r="AG27" s="10">
        <f t="shared" si="6"/>
        <v>2.7095999999999999E-2</v>
      </c>
      <c r="AH27" s="10">
        <f t="shared" si="7"/>
        <v>-1.1865893819935636E-3</v>
      </c>
      <c r="AI27" s="10">
        <f t="shared" si="14"/>
        <v>7.058902789323241E-4</v>
      </c>
      <c r="AJ27" s="10">
        <f t="shared" si="8"/>
        <v>-2.6279702583129793E-2</v>
      </c>
      <c r="AK27" s="10">
        <f t="shared" si="15"/>
        <v>2.6438690278932322E-2</v>
      </c>
      <c r="AL27" s="10">
        <f t="shared" si="20"/>
        <v>-0.61812553908007606</v>
      </c>
      <c r="AM27" s="10">
        <f t="shared" si="17"/>
        <v>0.4512796787082598</v>
      </c>
      <c r="AN27" s="10">
        <f t="shared" si="10"/>
        <v>6.351195362919615E-2</v>
      </c>
      <c r="AO27" s="10">
        <f t="shared" si="18"/>
        <v>0.39985979756908402</v>
      </c>
      <c r="AQ27" s="12">
        <v>0.6</v>
      </c>
    </row>
    <row r="28" spans="1:43" ht="15.75" customHeight="1">
      <c r="A28" s="6">
        <f>'CPB Data'!A28:A79</f>
        <v>1997</v>
      </c>
      <c r="B28" s="7">
        <v>0</v>
      </c>
      <c r="C28" s="13">
        <v>0.02</v>
      </c>
      <c r="D28" s="14">
        <f>'Correcties CBS'!C4</f>
        <v>-2.5959445526406232E-2</v>
      </c>
      <c r="E28" s="14">
        <f t="shared" si="21"/>
        <v>2.5959445526406232E-2</v>
      </c>
      <c r="H28" s="9"/>
      <c r="I28" s="9"/>
      <c r="J28" s="10">
        <f>'CPB Data'!D28</f>
        <v>2.8299999999999999E-2</v>
      </c>
      <c r="K28" s="10">
        <f>overheidsuitgaven_nominaal!U4*-1</f>
        <v>2.5463811970073524E-2</v>
      </c>
      <c r="L28" s="10">
        <f>'CPB Data'!G28/100</f>
        <v>0.65799999999999992</v>
      </c>
      <c r="M28" s="10">
        <f>'CPB Data'!C28</f>
        <v>7.0099999999999996E-2</v>
      </c>
      <c r="N28" s="10">
        <f>'CPB Data'!B28</f>
        <v>6.2100000000000002E-2</v>
      </c>
      <c r="O28" s="10">
        <f>'Marktrente NL'!C39</f>
        <v>5.577E-2</v>
      </c>
      <c r="P28" s="10">
        <f t="shared" si="0"/>
        <v>-6.3300000000000023E-3</v>
      </c>
      <c r="Q28" s="10">
        <f>MEDIAN(Inflatie!B28:B36)/100</f>
        <v>2.2000000000000002E-2</v>
      </c>
      <c r="R28" s="10">
        <f t="shared" si="1"/>
        <v>1.3397645526406234E-2</v>
      </c>
      <c r="U28" s="10">
        <f>'AMECO Potential GDP'!C36</f>
        <v>3.5365853658536617E-2</v>
      </c>
      <c r="V28" s="10">
        <f>'AMECO Output Gap'!B34/100</f>
        <v>-5.0000000000000001E-3</v>
      </c>
      <c r="Y28" s="11">
        <f t="shared" si="2"/>
        <v>3.0861799999999995E-2</v>
      </c>
      <c r="Z28" s="10">
        <f t="shared" si="11"/>
        <v>3.9095999999999999E-2</v>
      </c>
      <c r="AA28" s="10">
        <f t="shared" si="12"/>
        <v>4.0774764652141537E-3</v>
      </c>
      <c r="AB28" s="10">
        <f t="shared" si="3"/>
        <v>1.1009967498374865E-2</v>
      </c>
      <c r="AC28" s="10">
        <f t="shared" si="19"/>
        <v>6.4512503742606923E-3</v>
      </c>
      <c r="AD28" s="10">
        <f t="shared" si="13"/>
        <v>1.0813410618006437E-2</v>
      </c>
      <c r="AE28" s="10">
        <f t="shared" si="4"/>
        <v>1.1009967498374865E-2</v>
      </c>
      <c r="AF28" s="10">
        <f t="shared" si="5"/>
        <v>-5.0000000000000001E-3</v>
      </c>
      <c r="AG28" s="10">
        <f t="shared" si="6"/>
        <v>3.4096000000000001E-2</v>
      </c>
      <c r="AH28" s="10">
        <f t="shared" si="7"/>
        <v>5.8134106180064366E-3</v>
      </c>
      <c r="AI28" s="10">
        <f t="shared" si="14"/>
        <v>1.4512503742606922E-3</v>
      </c>
      <c r="AJ28" s="10">
        <f t="shared" si="8"/>
        <v>5.8017383545031012E-3</v>
      </c>
      <c r="AK28" s="10">
        <f t="shared" si="15"/>
        <v>-5.441054962573931E-2</v>
      </c>
      <c r="AL28" s="10">
        <f t="shared" si="20"/>
        <v>-0.66962581121704057</v>
      </c>
      <c r="AM28" s="10">
        <f t="shared" si="17"/>
        <v>0.41821445716440525</v>
      </c>
      <c r="AN28" s="10">
        <f t="shared" si="10"/>
        <v>8.3591953629196136E-2</v>
      </c>
      <c r="AO28" s="10">
        <f t="shared" si="18"/>
        <v>0.36260719133040697</v>
      </c>
      <c r="AQ28" s="12">
        <v>0.6</v>
      </c>
    </row>
    <row r="29" spans="1:43" ht="15.75" customHeight="1">
      <c r="A29" s="6">
        <f>'CPB Data'!A29:A80</f>
        <v>1998</v>
      </c>
      <c r="B29" s="7">
        <v>1</v>
      </c>
      <c r="C29" s="13">
        <v>-0.02</v>
      </c>
      <c r="D29" s="14">
        <f>'Correcties CBS'!C5</f>
        <v>-2.1165438713998661E-3</v>
      </c>
      <c r="E29" s="14">
        <f t="shared" si="21"/>
        <v>2.1165438713998661E-3</v>
      </c>
      <c r="H29" s="9"/>
      <c r="I29" s="9"/>
      <c r="J29" s="10">
        <f>'CPB Data'!D29</f>
        <v>2.81E-2</v>
      </c>
      <c r="K29" s="10">
        <f>overheidsuitgaven_nominaal!U5*-1</f>
        <v>2.4904114492521945E-2</v>
      </c>
      <c r="L29" s="10">
        <f>'CPB Data'!G29/100</f>
        <v>0.628</v>
      </c>
      <c r="M29" s="10">
        <f>'CPB Data'!C29</f>
        <v>6.9000000000000006E-2</v>
      </c>
      <c r="N29" s="10">
        <f>'CPB Data'!B29</f>
        <v>6.3500000000000001E-2</v>
      </c>
      <c r="O29" s="10">
        <f>'Marktrente NL'!C40</f>
        <v>4.632E-2</v>
      </c>
      <c r="P29" s="10">
        <f t="shared" si="0"/>
        <v>-1.7180000000000001E-2</v>
      </c>
      <c r="Q29" s="10">
        <f>MEDIAN(Inflatie!B29:B37)/100</f>
        <v>2.2000000000000002E-2</v>
      </c>
      <c r="R29" s="10">
        <f t="shared" si="1"/>
        <v>-9.661456128600138E-3</v>
      </c>
      <c r="U29" s="10">
        <f>'AMECO Potential GDP'!C37</f>
        <v>3.6317235963879035E-2</v>
      </c>
      <c r="V29" s="10">
        <f>'AMECO Output Gap'!B35/100</f>
        <v>5.0000000000000001E-3</v>
      </c>
      <c r="Y29" s="11">
        <f t="shared" si="2"/>
        <v>2.9878000000000002E-2</v>
      </c>
      <c r="Z29" s="10">
        <f t="shared" si="11"/>
        <v>2.9878000000000002E-2</v>
      </c>
      <c r="AA29" s="10">
        <f t="shared" si="12"/>
        <v>1.8724724611462059E-3</v>
      </c>
      <c r="AB29" s="10">
        <f t="shared" si="3"/>
        <v>-7.1190980636861431E-3</v>
      </c>
      <c r="AC29" s="10">
        <f t="shared" si="19"/>
        <v>2.9460647720981458E-3</v>
      </c>
      <c r="AD29" s="10">
        <f t="shared" si="13"/>
        <v>1.8724724611462059E-3</v>
      </c>
      <c r="AE29" s="10">
        <f t="shared" si="4"/>
        <v>-7.1190980636861431E-3</v>
      </c>
      <c r="AF29" s="10">
        <f t="shared" si="5"/>
        <v>5.0000000000000001E-3</v>
      </c>
      <c r="AG29" s="10">
        <f t="shared" si="6"/>
        <v>3.4877999999999999E-2</v>
      </c>
      <c r="AH29" s="10">
        <f t="shared" si="7"/>
        <v>6.8724724611462056E-3</v>
      </c>
      <c r="AI29" s="10">
        <f t="shared" si="14"/>
        <v>7.946064772098145E-3</v>
      </c>
      <c r="AJ29" s="10">
        <f t="shared" si="8"/>
        <v>-1.6897008679356861E-2</v>
      </c>
      <c r="AK29" s="10">
        <f t="shared" si="15"/>
        <v>-1.6931935227901856E-2</v>
      </c>
      <c r="AL29" s="10">
        <f t="shared" si="20"/>
        <v>-0.70078727231124649</v>
      </c>
      <c r="AM29" s="10">
        <f t="shared" si="17"/>
        <v>0.40765393719532178</v>
      </c>
      <c r="AN29" s="10">
        <f t="shared" si="10"/>
        <v>8.1736516523312278E-2</v>
      </c>
      <c r="AO29" s="10">
        <f t="shared" si="18"/>
        <v>0.34818435533439329</v>
      </c>
      <c r="AQ29" s="12">
        <v>0.6</v>
      </c>
    </row>
    <row r="30" spans="1:43" ht="15.75" customHeight="1">
      <c r="A30" s="6">
        <f>'CPB Data'!A30:A81</f>
        <v>1999</v>
      </c>
      <c r="B30" s="7">
        <v>0</v>
      </c>
      <c r="C30" s="13">
        <v>0</v>
      </c>
      <c r="D30" s="14">
        <f>'Correcties CBS'!C6</f>
        <v>-7.2542253343744491E-4</v>
      </c>
      <c r="E30" s="14">
        <f t="shared" si="21"/>
        <v>7.2542253343744491E-4</v>
      </c>
      <c r="H30" s="9"/>
      <c r="I30" s="9"/>
      <c r="J30" s="10">
        <f>'CPB Data'!D30</f>
        <v>4.1200000000000001E-2</v>
      </c>
      <c r="K30" s="10">
        <f>overheidsuitgaven_nominaal!U6*-1</f>
        <v>1.2650641779046512E-2</v>
      </c>
      <c r="L30" s="10">
        <f>'CPB Data'!G30/100</f>
        <v>0.58700000000000008</v>
      </c>
      <c r="M30" s="10">
        <f>'CPB Data'!C30</f>
        <v>6.3700000000000007E-2</v>
      </c>
      <c r="N30" s="10">
        <f>'CPB Data'!B30</f>
        <v>6.1899999999999997E-2</v>
      </c>
      <c r="O30" s="10">
        <f>'Marktrente NL'!C41</f>
        <v>4.6289999999999998E-2</v>
      </c>
      <c r="P30" s="10">
        <f t="shared" si="0"/>
        <v>-1.5609999999999999E-2</v>
      </c>
      <c r="Q30" s="10">
        <f>Inflatie!E38/100</f>
        <v>1.9E-2</v>
      </c>
      <c r="R30" s="10">
        <f t="shared" si="1"/>
        <v>5.5901225334374447E-3</v>
      </c>
      <c r="U30" s="10">
        <f>'AMECO Potential GDP'!C38</f>
        <v>3.6370524720591213E-2</v>
      </c>
      <c r="V30" s="10">
        <f>'AMECO Output Gap'!B36/100</f>
        <v>1.9E-2</v>
      </c>
      <c r="Y30" s="11">
        <f t="shared" si="2"/>
        <v>2.6335299999999999E-2</v>
      </c>
      <c r="Z30" s="10">
        <f t="shared" si="11"/>
        <v>2.9878000000000002E-2</v>
      </c>
      <c r="AA30" s="10">
        <f t="shared" si="12"/>
        <v>1.9963524103004419E-3</v>
      </c>
      <c r="AB30" s="10">
        <f t="shared" si="3"/>
        <v>-7.1190980636861431E-3</v>
      </c>
      <c r="AC30" s="10">
        <f t="shared" si="19"/>
        <v>3.0754255001049576E-3</v>
      </c>
      <c r="AD30" s="10">
        <f t="shared" si="13"/>
        <v>1.8724724611462059E-3</v>
      </c>
      <c r="AE30" s="10">
        <f t="shared" si="4"/>
        <v>-7.1190980636861431E-3</v>
      </c>
      <c r="AF30" s="10">
        <f t="shared" si="5"/>
        <v>1.9E-2</v>
      </c>
      <c r="AG30" s="10">
        <f t="shared" si="6"/>
        <v>4.8878000000000005E-2</v>
      </c>
      <c r="AH30" s="10">
        <f t="shared" si="7"/>
        <v>2.0872472461146204E-2</v>
      </c>
      <c r="AI30" s="10">
        <f t="shared" si="14"/>
        <v>2.2075425500104957E-2</v>
      </c>
      <c r="AJ30" s="10">
        <f t="shared" si="8"/>
        <v>-2.3363345010661164E-3</v>
      </c>
      <c r="AK30" s="10">
        <f t="shared" si="15"/>
        <v>-3.3259874499895044E-2</v>
      </c>
      <c r="AL30" s="10">
        <f t="shared" si="20"/>
        <v>-0.74623430196554474</v>
      </c>
      <c r="AM30" s="10">
        <f t="shared" si="17"/>
        <v>0.38665960413004469</v>
      </c>
      <c r="AN30" s="10">
        <f t="shared" si="10"/>
        <v>7.589651652331228E-2</v>
      </c>
      <c r="AO30" s="10">
        <f t="shared" si="18"/>
        <v>0.32358044346123244</v>
      </c>
      <c r="AQ30" s="12">
        <v>0.6</v>
      </c>
    </row>
    <row r="31" spans="1:43" ht="15.75" customHeight="1">
      <c r="A31" s="6">
        <f>'CPB Data'!A31:A82</f>
        <v>2000</v>
      </c>
      <c r="B31" s="7">
        <v>0</v>
      </c>
      <c r="C31" s="13">
        <v>0.01</v>
      </c>
      <c r="D31" s="14">
        <f>'Correcties CBS'!C7</f>
        <v>-1.1696084161309177E-2</v>
      </c>
      <c r="E31" s="14">
        <f t="shared" si="21"/>
        <v>1.1696084161309177E-2</v>
      </c>
      <c r="H31" s="9"/>
      <c r="I31" s="9"/>
      <c r="J31" s="10">
        <f>'CPB Data'!D31</f>
        <v>4.48E-2</v>
      </c>
      <c r="K31" s="10">
        <f>overheidsuitgaven_nominaal!U7*-1</f>
        <v>1.723404823940311E-2</v>
      </c>
      <c r="L31" s="10">
        <f>'CPB Data'!G31/100</f>
        <v>0.52200000000000002</v>
      </c>
      <c r="M31" s="10">
        <f>'CPB Data'!C31</f>
        <v>7.7399999999999997E-2</v>
      </c>
      <c r="N31" s="10">
        <f>'CPB Data'!B31</f>
        <v>5.6099999999999997E-2</v>
      </c>
      <c r="O31" s="10">
        <f>'Marktrente NL'!C42</f>
        <v>5.4029999999999995E-2</v>
      </c>
      <c r="P31" s="10">
        <f t="shared" si="0"/>
        <v>-2.0700000000000024E-3</v>
      </c>
      <c r="Q31" s="10">
        <f>Inflatie!E39/100</f>
        <v>1.8000000000000002E-2</v>
      </c>
      <c r="R31" s="10">
        <f t="shared" si="1"/>
        <v>2.7211884161309177E-2</v>
      </c>
      <c r="U31" s="10">
        <f>'AMECO Potential GDP'!C39</f>
        <v>3.3997441052824096E-2</v>
      </c>
      <c r="V31" s="10">
        <f>'AMECO Output Gap'!B37/100</f>
        <v>2.7000000000000003E-2</v>
      </c>
      <c r="Y31" s="11">
        <f t="shared" si="2"/>
        <v>1.9284200000000001E-2</v>
      </c>
      <c r="Z31" s="10">
        <f t="shared" si="11"/>
        <v>2.9878000000000002E-2</v>
      </c>
      <c r="AA31" s="10">
        <f t="shared" si="12"/>
        <v>2.3922255431394999E-3</v>
      </c>
      <c r="AB31" s="10">
        <f t="shared" si="3"/>
        <v>-7.1190980636861431E-3</v>
      </c>
      <c r="AC31" s="10">
        <f t="shared" si="19"/>
        <v>3.6317121799736849E-3</v>
      </c>
      <c r="AD31" s="10">
        <f t="shared" si="13"/>
        <v>1.8724724611462059E-3</v>
      </c>
      <c r="AE31" s="10">
        <f t="shared" si="4"/>
        <v>-7.1190980636861431E-3</v>
      </c>
      <c r="AF31" s="10">
        <f t="shared" si="5"/>
        <v>2.7000000000000003E-2</v>
      </c>
      <c r="AG31" s="10">
        <f t="shared" si="6"/>
        <v>5.6878000000000005E-2</v>
      </c>
      <c r="AH31" s="10">
        <f t="shared" si="7"/>
        <v>2.8872472461146208E-2</v>
      </c>
      <c r="AI31" s="10">
        <f t="shared" si="14"/>
        <v>3.0631712179973687E-2</v>
      </c>
      <c r="AJ31" s="10">
        <f t="shared" si="8"/>
        <v>2.1418188386062329E-2</v>
      </c>
      <c r="AK31" s="10">
        <f t="shared" si="15"/>
        <v>-3.5652487820026314E-2</v>
      </c>
      <c r="AL31" s="10">
        <f t="shared" si="20"/>
        <v>-0.79512913538808339</v>
      </c>
      <c r="AM31" s="10">
        <f t="shared" si="17"/>
        <v>0.34136128763623985</v>
      </c>
      <c r="AN31" s="10">
        <f t="shared" si="10"/>
        <v>8.6956516523312266E-2</v>
      </c>
      <c r="AO31" s="10">
        <f t="shared" si="18"/>
        <v>0.27707157106913849</v>
      </c>
      <c r="AQ31" s="12">
        <v>0.6</v>
      </c>
    </row>
    <row r="32" spans="1:43" ht="15.75" customHeight="1">
      <c r="A32" s="6">
        <f>'CPB Data'!A32:A83</f>
        <v>2001</v>
      </c>
      <c r="B32" s="7">
        <v>0</v>
      </c>
      <c r="C32" s="13">
        <v>-0.01</v>
      </c>
      <c r="D32" s="14">
        <f>'Correcties CBS'!C8</f>
        <v>1.5154838143696815E-3</v>
      </c>
      <c r="E32" s="14">
        <f t="shared" si="21"/>
        <v>-1.5154838143696815E-3</v>
      </c>
      <c r="H32" s="9"/>
      <c r="I32" s="9"/>
      <c r="J32" s="10">
        <f>'CPB Data'!D32</f>
        <v>2.4400000000000002E-2</v>
      </c>
      <c r="K32" s="10">
        <f>overheidsuitgaven_nominaal!U8*-1</f>
        <v>-1.3717549177491462E-2</v>
      </c>
      <c r="L32" s="10">
        <f>'CPB Data'!G32/100</f>
        <v>0.495</v>
      </c>
      <c r="M32" s="10">
        <f>'CPB Data'!C32</f>
        <v>6.6000000000000003E-2</v>
      </c>
      <c r="N32" s="10">
        <f>'CPB Data'!B32</f>
        <v>5.5199999999999999E-2</v>
      </c>
      <c r="O32" s="10">
        <f>'Marktrente NL'!C43</f>
        <v>4.9569999999999996E-2</v>
      </c>
      <c r="P32" s="10">
        <f t="shared" si="0"/>
        <v>-5.6300000000000031E-3</v>
      </c>
      <c r="Q32" s="10">
        <f>Inflatie!E40/100</f>
        <v>1.8000000000000002E-2</v>
      </c>
      <c r="R32" s="10">
        <f t="shared" si="1"/>
        <v>-4.4394838143696777E-3</v>
      </c>
      <c r="U32" s="10">
        <f>'AMECO Potential GDP'!C40</f>
        <v>3.1111896765069647E-2</v>
      </c>
      <c r="V32" s="10">
        <f>'AMECO Output Gap'!B38/100</f>
        <v>1.9E-2</v>
      </c>
      <c r="Y32" s="11">
        <f t="shared" si="2"/>
        <v>1.7323999999999999E-2</v>
      </c>
      <c r="Z32" s="10">
        <f t="shared" si="11"/>
        <v>2.9878000000000002E-2</v>
      </c>
      <c r="AA32" s="10">
        <f t="shared" si="12"/>
        <v>1.3312340412254459E-3</v>
      </c>
      <c r="AB32" s="10">
        <f t="shared" si="3"/>
        <v>-7.1190980636861431E-3</v>
      </c>
      <c r="AC32" s="10">
        <f t="shared" si="19"/>
        <v>2.035685341860393E-3</v>
      </c>
      <c r="AD32" s="10">
        <f t="shared" si="13"/>
        <v>1.8724724611462059E-3</v>
      </c>
      <c r="AE32" s="10">
        <f t="shared" si="4"/>
        <v>-7.1190980636861431E-3</v>
      </c>
      <c r="AF32" s="10">
        <f t="shared" si="5"/>
        <v>1.9E-2</v>
      </c>
      <c r="AG32" s="10">
        <f t="shared" si="6"/>
        <v>4.8878000000000005E-2</v>
      </c>
      <c r="AH32" s="10">
        <f t="shared" si="7"/>
        <v>2.0872472461146204E-2</v>
      </c>
      <c r="AI32" s="10">
        <f t="shared" si="14"/>
        <v>2.1035685341860393E-2</v>
      </c>
      <c r="AJ32" s="10">
        <f t="shared" si="8"/>
        <v>1.7071023408689213E-3</v>
      </c>
      <c r="AK32" s="10">
        <f t="shared" si="15"/>
        <v>-1.5288314658139604E-2</v>
      </c>
      <c r="AL32" s="10">
        <f t="shared" si="20"/>
        <v>-0.83150354582282915</v>
      </c>
      <c r="AM32" s="10">
        <f t="shared" si="17"/>
        <v>0.31974431713600726</v>
      </c>
      <c r="AN32" s="10">
        <f t="shared" si="10"/>
        <v>6.8116516523312284E-2</v>
      </c>
      <c r="AO32" s="10">
        <f t="shared" si="18"/>
        <v>0.25559845664966818</v>
      </c>
      <c r="AQ32" s="12">
        <v>0.6</v>
      </c>
    </row>
    <row r="33" spans="1:43" ht="15.75" customHeight="1">
      <c r="A33" s="6">
        <f>'CPB Data'!A33:A84</f>
        <v>2002</v>
      </c>
      <c r="B33" s="7">
        <v>1</v>
      </c>
      <c r="C33" s="13">
        <v>-0.01</v>
      </c>
      <c r="D33" s="14">
        <f>'Correcties CBS'!C9</f>
        <v>-8.2510964912280698E-3</v>
      </c>
      <c r="E33" s="14">
        <f t="shared" si="21"/>
        <v>8.2510964912280698E-3</v>
      </c>
      <c r="H33" s="9"/>
      <c r="I33" s="9"/>
      <c r="J33" s="10">
        <f>'CPB Data'!D33</f>
        <v>5.4999999999999997E-3</v>
      </c>
      <c r="K33" s="10">
        <f>overheidsuitgaven_nominaal!U9*-1</f>
        <v>-1.6523878886610666E-2</v>
      </c>
      <c r="L33" s="10">
        <f>'CPB Data'!G33/100</f>
        <v>0.48899999999999999</v>
      </c>
      <c r="M33" s="10">
        <f>'CPB Data'!C33</f>
        <v>4.0099999999999997E-2</v>
      </c>
      <c r="N33" s="10">
        <f>'CPB Data'!B33</f>
        <v>5.1900000000000002E-2</v>
      </c>
      <c r="O33" s="10">
        <f>'Marktrente NL'!C44</f>
        <v>4.8899999999999999E-2</v>
      </c>
      <c r="P33" s="10">
        <f t="shared" si="0"/>
        <v>-3.0000000000000027E-3</v>
      </c>
      <c r="Q33" s="10">
        <f>Inflatie!E41/100</f>
        <v>1.9E-2</v>
      </c>
      <c r="R33" s="10">
        <f t="shared" si="1"/>
        <v>-1.1628003508771934E-2</v>
      </c>
      <c r="U33" s="10">
        <f>'AMECO Potential GDP'!C41</f>
        <v>2.4858563346476847E-2</v>
      </c>
      <c r="V33" s="10">
        <f>'AMECO Output Gap'!B39/100</f>
        <v>-4.0000000000000001E-3</v>
      </c>
      <c r="Y33" s="11">
        <f t="shared" si="2"/>
        <v>1.5379100000000001E-2</v>
      </c>
      <c r="Z33" s="10">
        <f t="shared" si="11"/>
        <v>1.5379100000000001E-2</v>
      </c>
      <c r="AA33" s="10">
        <f t="shared" si="12"/>
        <v>1.8555088523051929E-3</v>
      </c>
      <c r="AB33" s="10">
        <f t="shared" si="3"/>
        <v>2.3616825211162135E-3</v>
      </c>
      <c r="AC33" s="10">
        <f t="shared" si="19"/>
        <v>2.8725354374332314E-3</v>
      </c>
      <c r="AD33" s="10">
        <f t="shared" si="13"/>
        <v>1.8555088523051929E-3</v>
      </c>
      <c r="AE33" s="10">
        <f t="shared" si="4"/>
        <v>2.3616825211162135E-3</v>
      </c>
      <c r="AF33" s="10">
        <f t="shared" si="5"/>
        <v>-4.0000000000000001E-3</v>
      </c>
      <c r="AG33" s="10">
        <f t="shared" si="6"/>
        <v>1.1379100000000001E-2</v>
      </c>
      <c r="AH33" s="10">
        <f t="shared" si="7"/>
        <v>-2.144491147694807E-3</v>
      </c>
      <c r="AI33" s="10">
        <f t="shared" si="14"/>
        <v>-1.1274645625667687E-3</v>
      </c>
      <c r="AJ33" s="10">
        <f t="shared" si="8"/>
        <v>-1.0371679179214664E-2</v>
      </c>
      <c r="AK33" s="10">
        <f t="shared" si="15"/>
        <v>-1.250656456256677E-2</v>
      </c>
      <c r="AL33" s="10">
        <f t="shared" si="20"/>
        <v>-0.85981038010024224</v>
      </c>
      <c r="AM33" s="10">
        <f t="shared" si="17"/>
        <v>0.31750066517818742</v>
      </c>
      <c r="AN33" s="10">
        <f t="shared" si="10"/>
        <v>4.4686694688616878E-2</v>
      </c>
      <c r="AO33" s="10">
        <f t="shared" si="18"/>
        <v>0.25151790727512913</v>
      </c>
      <c r="AQ33" s="12">
        <v>0.6</v>
      </c>
    </row>
    <row r="34" spans="1:43" ht="15.75" customHeight="1">
      <c r="A34" s="6">
        <f>'CPB Data'!A34:A85</f>
        <v>2003</v>
      </c>
      <c r="B34" s="7">
        <v>1</v>
      </c>
      <c r="C34" s="13">
        <v>-0.01</v>
      </c>
      <c r="D34" s="14">
        <f>'Correcties CBS'!C10</f>
        <v>-8.8089943167778597E-3</v>
      </c>
      <c r="E34" s="14">
        <f t="shared" si="21"/>
        <v>8.8089943167778597E-3</v>
      </c>
      <c r="H34" s="9"/>
      <c r="I34" s="9"/>
      <c r="J34" s="10">
        <f>'CPB Data'!D34</f>
        <v>-7.1999999999999998E-3</v>
      </c>
      <c r="K34" s="10">
        <f>overheidsuitgaven_nominaal!U10*-1</f>
        <v>-2.1664443193121885E-2</v>
      </c>
      <c r="L34" s="10">
        <f>'CPB Data'!G34/100</f>
        <v>0.5</v>
      </c>
      <c r="M34" s="10">
        <f>'CPB Data'!C34</f>
        <v>2.4E-2</v>
      </c>
      <c r="N34" s="10">
        <f>'CPB Data'!B34</f>
        <v>4.8500000000000001E-2</v>
      </c>
      <c r="O34" s="10">
        <f>'Marktrente NL'!C45</f>
        <v>4.1230000000000003E-2</v>
      </c>
      <c r="P34" s="10">
        <f t="shared" si="0"/>
        <v>-7.2699999999999987E-3</v>
      </c>
      <c r="Q34" s="10">
        <f>Inflatie!E42/100</f>
        <v>1.9E-2</v>
      </c>
      <c r="R34" s="10">
        <f t="shared" si="1"/>
        <v>-2.2641005683222137E-2</v>
      </c>
      <c r="U34" s="10">
        <f>'AMECO Potential GDP'!C42</f>
        <v>2.0742723318835976E-2</v>
      </c>
      <c r="V34" s="10">
        <f>'AMECO Output Gap'!B40/100</f>
        <v>-2.3E-2</v>
      </c>
      <c r="Y34" s="11">
        <f t="shared" si="2"/>
        <v>1.4250000000000001E-2</v>
      </c>
      <c r="Z34" s="10">
        <f t="shared" si="11"/>
        <v>1.4250000000000001E-2</v>
      </c>
      <c r="AA34" s="10">
        <f t="shared" si="12"/>
        <v>2.4458883378767047E-3</v>
      </c>
      <c r="AB34" s="10">
        <f t="shared" si="3"/>
        <v>7.1521379655192785E-4</v>
      </c>
      <c r="AC34" s="10">
        <f t="shared" si="19"/>
        <v>3.7670453274498451E-3</v>
      </c>
      <c r="AD34" s="10">
        <f t="shared" si="13"/>
        <v>2.4458883378767047E-3</v>
      </c>
      <c r="AE34" s="10">
        <f t="shared" si="4"/>
        <v>7.1521379655192785E-4</v>
      </c>
      <c r="AF34" s="10">
        <f t="shared" si="5"/>
        <v>-2.3E-2</v>
      </c>
      <c r="AG34" s="10">
        <f t="shared" si="6"/>
        <v>-8.7499999999999991E-3</v>
      </c>
      <c r="AH34" s="10">
        <f t="shared" si="7"/>
        <v>-2.0554111662123294E-2</v>
      </c>
      <c r="AI34" s="10">
        <f t="shared" si="14"/>
        <v>-1.9232954672550154E-2</v>
      </c>
      <c r="AJ34" s="10">
        <f t="shared" si="8"/>
        <v>-2.8068614798525841E-2</v>
      </c>
      <c r="AK34" s="10">
        <f t="shared" si="15"/>
        <v>-1.0482954672550155E-2</v>
      </c>
      <c r="AL34" s="10">
        <f t="shared" si="20"/>
        <v>-0.88043962680847843</v>
      </c>
      <c r="AM34" s="10">
        <f t="shared" si="17"/>
        <v>0.33656695779753415</v>
      </c>
      <c r="AN34" s="10">
        <f t="shared" si="10"/>
        <v>3.2012466997273975E-2</v>
      </c>
      <c r="AO34" s="10">
        <f t="shared" si="18"/>
        <v>0.26691697235479811</v>
      </c>
      <c r="AQ34" s="12">
        <v>0.6</v>
      </c>
    </row>
    <row r="35" spans="1:43" ht="15.75" customHeight="1">
      <c r="A35" s="6">
        <f>'CPB Data'!A35:A86</f>
        <v>2004</v>
      </c>
      <c r="B35" s="7">
        <v>0</v>
      </c>
      <c r="C35" s="13">
        <v>0</v>
      </c>
      <c r="D35" s="14">
        <f>'Correcties CBS'!C11</f>
        <v>7.8196688609615005E-4</v>
      </c>
      <c r="E35" s="14">
        <f t="shared" si="21"/>
        <v>-7.8196688609615005E-4</v>
      </c>
      <c r="H35" s="9"/>
      <c r="I35" s="9"/>
      <c r="J35" s="10">
        <f>'CPB Data'!D35</f>
        <v>5.4000000000000003E-3</v>
      </c>
      <c r="K35" s="10">
        <f>overheidsuitgaven_nominaal!U11*-1</f>
        <v>1.6753168226658177E-2</v>
      </c>
      <c r="L35" s="10">
        <f>'CPB Data'!G35/100</f>
        <v>0.503</v>
      </c>
      <c r="M35" s="10">
        <f>'CPB Data'!C35</f>
        <v>3.2199999999999999E-2</v>
      </c>
      <c r="N35" s="10">
        <f>'CPB Data'!B35</f>
        <v>4.6399999999999997E-2</v>
      </c>
      <c r="O35" s="10">
        <f>'Marktrente NL'!C46</f>
        <v>4.095E-2</v>
      </c>
      <c r="P35" s="10">
        <f t="shared" si="0"/>
        <v>-5.4499999999999965E-3</v>
      </c>
      <c r="Q35" s="10">
        <f>Inflatie!E43/100</f>
        <v>1.9E-2</v>
      </c>
      <c r="R35" s="10">
        <f t="shared" si="1"/>
        <v>-1.8721166886096145E-2</v>
      </c>
      <c r="U35" s="10">
        <f>'AMECO Potential GDP'!C43</f>
        <v>1.835463782366431E-2</v>
      </c>
      <c r="V35" s="10">
        <f>'AMECO Output Gap'!B41/100</f>
        <v>-2.1000000000000001E-2</v>
      </c>
      <c r="Y35" s="11">
        <f t="shared" si="2"/>
        <v>1.3339199999999997E-2</v>
      </c>
      <c r="Z35" s="10">
        <f t="shared" si="11"/>
        <v>1.4250000000000001E-2</v>
      </c>
      <c r="AA35" s="10">
        <f t="shared" si="12"/>
        <v>2.8347493135250216E-3</v>
      </c>
      <c r="AB35" s="10">
        <f t="shared" si="3"/>
        <v>7.1521379655192785E-4</v>
      </c>
      <c r="AC35" s="10">
        <f t="shared" si="19"/>
        <v>4.2112709638453261E-3</v>
      </c>
      <c r="AD35" s="10">
        <f t="shared" si="13"/>
        <v>2.4458883378767047E-3</v>
      </c>
      <c r="AE35" s="10">
        <f t="shared" si="4"/>
        <v>7.1521379655192785E-4</v>
      </c>
      <c r="AF35" s="10">
        <f t="shared" si="5"/>
        <v>-2.1000000000000001E-2</v>
      </c>
      <c r="AG35" s="10">
        <f t="shared" si="6"/>
        <v>-6.7500000000000008E-3</v>
      </c>
      <c r="AH35" s="10">
        <f t="shared" si="7"/>
        <v>-1.8554111662123295E-2</v>
      </c>
      <c r="AI35" s="10">
        <f t="shared" si="14"/>
        <v>-1.6788729036154675E-2</v>
      </c>
      <c r="AJ35" s="10">
        <f t="shared" si="8"/>
        <v>-3.603683042179312E-2</v>
      </c>
      <c r="AK35" s="10">
        <f t="shared" si="15"/>
        <v>-1.9127929036154671E-2</v>
      </c>
      <c r="AL35" s="10">
        <f t="shared" si="20"/>
        <v>-0.88525485236029422</v>
      </c>
      <c r="AM35" s="10">
        <f t="shared" si="17"/>
        <v>0.35992999727529473</v>
      </c>
      <c r="AN35" s="10">
        <f t="shared" si="10"/>
        <v>4.6572466997273979E-2</v>
      </c>
      <c r="AO35" s="10">
        <f t="shared" si="18"/>
        <v>0.28534860971176118</v>
      </c>
      <c r="AQ35" s="12">
        <v>0.6</v>
      </c>
    </row>
    <row r="36" spans="1:43" ht="15.75" customHeight="1">
      <c r="A36" s="6">
        <f>'CPB Data'!A36:A87</f>
        <v>2005</v>
      </c>
      <c r="B36" s="7">
        <v>0</v>
      </c>
      <c r="C36" s="13">
        <v>0.01</v>
      </c>
      <c r="D36" s="14">
        <f>'Correcties CBS'!C12</f>
        <v>1.0244033252882812E-2</v>
      </c>
      <c r="E36" s="14">
        <f t="shared" si="21"/>
        <v>-1.0244033252882812E-2</v>
      </c>
      <c r="H36" s="9"/>
      <c r="I36" s="9"/>
      <c r="J36" s="10">
        <f>'CPB Data'!D36</f>
        <v>1.7000000000000001E-2</v>
      </c>
      <c r="K36" s="10">
        <f>overheidsuitgaven_nominaal!U12*-1</f>
        <v>1.6029821601865168E-2</v>
      </c>
      <c r="L36" s="10">
        <f>'CPB Data'!G36/100</f>
        <v>0.498</v>
      </c>
      <c r="M36" s="10">
        <f>'CPB Data'!C36</f>
        <v>4.1399999999999999E-2</v>
      </c>
      <c r="N36" s="10">
        <f>'CPB Data'!B36</f>
        <v>4.3099999999999999E-2</v>
      </c>
      <c r="O36" s="10">
        <f>'Marktrente NL'!C47</f>
        <v>3.3739999999999999E-2</v>
      </c>
      <c r="P36" s="10">
        <f t="shared" si="0"/>
        <v>-9.3600000000000003E-3</v>
      </c>
      <c r="Q36" s="10">
        <f>Inflatie!E44/100</f>
        <v>1.9E-2</v>
      </c>
      <c r="R36" s="10">
        <f t="shared" si="1"/>
        <v>-1.4707833252882808E-2</v>
      </c>
      <c r="U36" s="10">
        <f>'AMECO Potential GDP'!C44</f>
        <v>1.544898616028334E-2</v>
      </c>
      <c r="V36" s="10">
        <f>'AMECO Output Gap'!B42/100</f>
        <v>-1.6E-2</v>
      </c>
      <c r="Y36" s="11">
        <f t="shared" si="2"/>
        <v>1.1463799999999998E-2</v>
      </c>
      <c r="Z36" s="10">
        <f t="shared" si="11"/>
        <v>1.4250000000000001E-2</v>
      </c>
      <c r="AA36" s="10">
        <f t="shared" si="12"/>
        <v>3.1384611055607255E-3</v>
      </c>
      <c r="AB36" s="10">
        <f t="shared" si="3"/>
        <v>7.1521379655192785E-4</v>
      </c>
      <c r="AC36" s="10">
        <f t="shared" si="19"/>
        <v>4.3859804629998861E-3</v>
      </c>
      <c r="AD36" s="10">
        <f t="shared" si="13"/>
        <v>2.4458883378767047E-3</v>
      </c>
      <c r="AE36" s="10">
        <f t="shared" si="4"/>
        <v>7.1521379655192785E-4</v>
      </c>
      <c r="AF36" s="10">
        <f t="shared" si="5"/>
        <v>-1.6E-2</v>
      </c>
      <c r="AG36" s="10">
        <f t="shared" si="6"/>
        <v>-1.7499999999999998E-3</v>
      </c>
      <c r="AH36" s="10">
        <f t="shared" si="7"/>
        <v>-1.3554111662123296E-2</v>
      </c>
      <c r="AI36" s="10">
        <f t="shared" si="14"/>
        <v>-1.1614019537000114E-2</v>
      </c>
      <c r="AJ36" s="10">
        <f t="shared" si="8"/>
        <v>-4.0321375653089957E-2</v>
      </c>
      <c r="AK36" s="10">
        <f t="shared" si="15"/>
        <v>-2.7077819537000114E-2</v>
      </c>
      <c r="AL36" s="10">
        <f t="shared" si="20"/>
        <v>-0.87518273789527556</v>
      </c>
      <c r="AM36" s="10">
        <f t="shared" si="17"/>
        <v>0.38336962269336083</v>
      </c>
      <c r="AN36" s="10">
        <f t="shared" si="10"/>
        <v>5.9732466997273977E-2</v>
      </c>
      <c r="AO36" s="10">
        <f t="shared" si="18"/>
        <v>0.30332682041548797</v>
      </c>
      <c r="AQ36" s="12">
        <v>0.6</v>
      </c>
    </row>
    <row r="37" spans="1:43" ht="15.75" customHeight="1">
      <c r="A37" s="6">
        <f>'CPB Data'!A37:A88</f>
        <v>2006</v>
      </c>
      <c r="B37" s="7">
        <v>1</v>
      </c>
      <c r="C37" s="13">
        <v>0.02</v>
      </c>
      <c r="D37" s="14">
        <f>'Correcties CBS'!C13</f>
        <v>-1.8599155813701793E-2</v>
      </c>
      <c r="E37" s="14">
        <f t="shared" si="21"/>
        <v>1.8599155813701793E-2</v>
      </c>
      <c r="H37" s="15"/>
      <c r="I37" s="16"/>
      <c r="J37" s="10">
        <f>'CPB Data'!D37</f>
        <v>1.9800000000000002E-2</v>
      </c>
      <c r="K37" s="10">
        <f>overheidsuitgaven_nominaal!U13*-1</f>
        <v>-3.5966382373434524E-2</v>
      </c>
      <c r="L37" s="10">
        <f>'CPB Data'!G37/100</f>
        <v>0.45200000000000001</v>
      </c>
      <c r="M37" s="10">
        <f>'CPB Data'!C37</f>
        <v>6.1899999999999997E-2</v>
      </c>
      <c r="N37" s="10">
        <f>'CPB Data'!B37</f>
        <v>4.0500000000000001E-2</v>
      </c>
      <c r="O37" s="10">
        <f>'Marktrente NL'!C48</f>
        <v>3.7819999999999999E-2</v>
      </c>
      <c r="P37" s="10">
        <f t="shared" si="0"/>
        <v>-2.6800000000000018E-3</v>
      </c>
      <c r="Q37" s="10">
        <f>Inflatie!E45/100</f>
        <v>1.9E-2</v>
      </c>
      <c r="R37" s="10">
        <f t="shared" si="1"/>
        <v>2.0093155813701791E-2</v>
      </c>
      <c r="U37" s="10">
        <f>'AMECO Potential GDP'!C45</f>
        <v>1.8066561014262961E-2</v>
      </c>
      <c r="V37" s="10">
        <f>'AMECO Output Gap'!B43/100</f>
        <v>0</v>
      </c>
      <c r="Y37" s="11">
        <f t="shared" si="2"/>
        <v>8.3060000000000026E-3</v>
      </c>
      <c r="Z37" s="10">
        <f t="shared" si="11"/>
        <v>8.3060000000000026E-3</v>
      </c>
      <c r="AA37" s="10">
        <f t="shared" si="12"/>
        <v>3.2060893828681257E-3</v>
      </c>
      <c r="AB37" s="10">
        <f t="shared" si="3"/>
        <v>3.2838241474118492E-4</v>
      </c>
      <c r="AC37" s="10">
        <f t="shared" si="19"/>
        <v>4.1647340273107585E-3</v>
      </c>
      <c r="AD37" s="10">
        <f t="shared" si="13"/>
        <v>3.2060893828681257E-3</v>
      </c>
      <c r="AE37" s="10">
        <f t="shared" si="4"/>
        <v>3.2838241474118492E-4</v>
      </c>
      <c r="AF37" s="10">
        <f t="shared" si="5"/>
        <v>0</v>
      </c>
      <c r="AG37" s="10">
        <f t="shared" si="6"/>
        <v>8.3060000000000026E-3</v>
      </c>
      <c r="AH37" s="10">
        <f t="shared" si="7"/>
        <v>3.2060893828681257E-3</v>
      </c>
      <c r="AI37" s="10">
        <f t="shared" si="14"/>
        <v>4.1647340273107585E-3</v>
      </c>
      <c r="AJ37" s="10">
        <f t="shared" si="8"/>
        <v>7.4233078086399645E-3</v>
      </c>
      <c r="AK37" s="10">
        <f t="shared" si="15"/>
        <v>-3.4141265972689246E-2</v>
      </c>
      <c r="AL37" s="10">
        <f t="shared" si="20"/>
        <v>-0.8828823755473546</v>
      </c>
      <c r="AM37" s="10">
        <f t="shared" si="17"/>
        <v>0.35510956513407288</v>
      </c>
      <c r="AN37" s="10">
        <f t="shared" si="10"/>
        <v>7.1856346370279128E-2</v>
      </c>
      <c r="AO37" s="10">
        <f t="shared" si="18"/>
        <v>0.27410978387233265</v>
      </c>
      <c r="AQ37" s="12">
        <v>0.6</v>
      </c>
    </row>
    <row r="38" spans="1:43" ht="14.4">
      <c r="A38" s="6">
        <f>'CPB Data'!A38:A89</f>
        <v>2007</v>
      </c>
      <c r="B38" s="7">
        <v>1</v>
      </c>
      <c r="C38" s="13">
        <v>-0.02</v>
      </c>
      <c r="D38" s="14">
        <f>'Correcties CBS'!C14</f>
        <v>1.0688815890252412E-3</v>
      </c>
      <c r="E38" s="14">
        <f t="shared" si="21"/>
        <v>-1.0688815890252412E-3</v>
      </c>
      <c r="H38" s="17">
        <v>0.01</v>
      </c>
      <c r="I38" s="18">
        <v>0</v>
      </c>
      <c r="J38" s="10">
        <f>'CPB Data'!D38</f>
        <v>1.7299999999999999E-2</v>
      </c>
      <c r="K38" s="10">
        <f>overheidsuitgaven_nominaal!U14*-1</f>
        <v>1.6223473355860052E-2</v>
      </c>
      <c r="L38" s="10">
        <f>'CPB Data'!G38/100</f>
        <v>0.43</v>
      </c>
      <c r="M38" s="10">
        <f>'CPB Data'!C38</f>
        <v>5.9799999999999999E-2</v>
      </c>
      <c r="N38" s="10">
        <f>'CPB Data'!B38</f>
        <v>4.3499999999999997E-2</v>
      </c>
      <c r="O38" s="10">
        <f>'Marktrente NL'!C49</f>
        <v>4.2880000000000001E-2</v>
      </c>
      <c r="P38" s="10">
        <f t="shared" si="0"/>
        <v>-6.1999999999999555E-4</v>
      </c>
      <c r="Q38" s="10">
        <f>Inflatie!E46/100</f>
        <v>1.9E-2</v>
      </c>
      <c r="R38" s="10">
        <f t="shared" si="1"/>
        <v>-2.4738815890252412E-3</v>
      </c>
      <c r="U38" s="10">
        <f>'AMECO Potential GDP'!C46</f>
        <v>1.9458281444582726E-2</v>
      </c>
      <c r="V38" s="10">
        <f>'AMECO Output Gap'!B44/100</f>
        <v>1.8000000000000002E-2</v>
      </c>
      <c r="Y38" s="11">
        <f t="shared" si="2"/>
        <v>8.7049999999999992E-3</v>
      </c>
      <c r="Z38" s="10">
        <f t="shared" si="11"/>
        <v>8.7049999999999992E-3</v>
      </c>
      <c r="AA38" s="10">
        <f t="shared" si="12"/>
        <v>1.1756690177601062E-3</v>
      </c>
      <c r="AB38" s="10">
        <f t="shared" si="3"/>
        <v>1.8309247591386834E-3</v>
      </c>
      <c r="AC38" s="10">
        <f t="shared" si="19"/>
        <v>1.4964463033456594E-3</v>
      </c>
      <c r="AD38" s="10">
        <f t="shared" si="13"/>
        <v>1.1756690177601062E-3</v>
      </c>
      <c r="AE38" s="10">
        <f t="shared" si="4"/>
        <v>1.8309247591386834E-3</v>
      </c>
      <c r="AF38" s="10">
        <f t="shared" si="5"/>
        <v>1.8000000000000002E-2</v>
      </c>
      <c r="AG38" s="10">
        <f t="shared" si="6"/>
        <v>2.6705E-2</v>
      </c>
      <c r="AH38" s="10">
        <f t="shared" si="7"/>
        <v>1.9175669017760109E-2</v>
      </c>
      <c r="AI38" s="10">
        <f t="shared" si="14"/>
        <v>1.9496446303345662E-2</v>
      </c>
      <c r="AJ38" s="10">
        <f t="shared" si="8"/>
        <v>3.640306106969297E-3</v>
      </c>
      <c r="AK38" s="10">
        <f t="shared" si="15"/>
        <v>2.7914463033456606E-3</v>
      </c>
      <c r="AL38" s="10">
        <f t="shared" si="20"/>
        <v>-0.89349299612628719</v>
      </c>
      <c r="AM38" s="10">
        <f t="shared" si="17"/>
        <v>0.33256278900610509</v>
      </c>
      <c r="AN38" s="10">
        <f t="shared" si="10"/>
        <v>5.8674598589343936E-2</v>
      </c>
      <c r="AO38" s="10">
        <f t="shared" si="18"/>
        <v>0.2530775484733927</v>
      </c>
      <c r="AQ38" s="12">
        <v>0.6</v>
      </c>
    </row>
    <row r="39" spans="1:43" ht="14.4">
      <c r="A39" s="6">
        <f>'CPB Data'!A39:A90</f>
        <v>2008</v>
      </c>
      <c r="B39" s="7">
        <v>0</v>
      </c>
      <c r="C39" s="13">
        <v>0</v>
      </c>
      <c r="D39" s="14">
        <f>'Correcties CBS'!C15</f>
        <v>0.14427206277369886</v>
      </c>
      <c r="E39" s="14">
        <f t="shared" si="21"/>
        <v>-0.14427206277369886</v>
      </c>
      <c r="H39" s="17"/>
      <c r="I39" s="18"/>
      <c r="J39" s="10">
        <f>'CPB Data'!D39</f>
        <v>2.1700000000000001E-2</v>
      </c>
      <c r="K39" s="10">
        <f>overheidsuitgaven_nominaal!U15*-1</f>
        <v>-1.3232166010085811E-2</v>
      </c>
      <c r="L39" s="10">
        <f>'CPB Data'!G39/100</f>
        <v>0.54700000000000004</v>
      </c>
      <c r="M39" s="10">
        <f>'CPB Data'!C39</f>
        <v>4.5499999999999999E-2</v>
      </c>
      <c r="N39" s="10">
        <f>'CPB Data'!B39</f>
        <v>4.7500000000000001E-2</v>
      </c>
      <c r="O39" s="10">
        <f>'Marktrente NL'!C50</f>
        <v>4.2279999999999998E-2</v>
      </c>
      <c r="P39" s="10">
        <f t="shared" si="0"/>
        <v>-5.2200000000000024E-3</v>
      </c>
      <c r="Q39" s="10">
        <f>Inflatie!E47/100</f>
        <v>0.02</v>
      </c>
      <c r="R39" s="10">
        <f t="shared" si="1"/>
        <v>-0.14855456277369886</v>
      </c>
      <c r="U39" s="10">
        <f>'AMECO Potential GDP'!C47</f>
        <v>1.7407237746220661E-2</v>
      </c>
      <c r="V39" s="10">
        <f>'AMECO Output Gap'!B45/100</f>
        <v>2.2000000000000002E-2</v>
      </c>
      <c r="Y39" s="11">
        <f t="shared" si="2"/>
        <v>1.5982500000000004E-2</v>
      </c>
      <c r="Z39" s="10">
        <f t="shared" si="11"/>
        <v>8.7049999999999992E-3</v>
      </c>
      <c r="AA39" s="10">
        <f t="shared" si="12"/>
        <v>1.614593493193628E-3</v>
      </c>
      <c r="AB39" s="10">
        <f t="shared" si="3"/>
        <v>1.8309247591386834E-3</v>
      </c>
      <c r="AC39" s="10">
        <f t="shared" si="19"/>
        <v>2.0876514902589262E-3</v>
      </c>
      <c r="AD39" s="10">
        <f t="shared" si="13"/>
        <v>1.1756690177601062E-3</v>
      </c>
      <c r="AE39" s="10">
        <f t="shared" si="4"/>
        <v>1.8309247591386834E-3</v>
      </c>
      <c r="AF39" s="10">
        <f t="shared" si="5"/>
        <v>2.2000000000000002E-2</v>
      </c>
      <c r="AG39" s="10">
        <f t="shared" si="6"/>
        <v>3.0705000000000003E-2</v>
      </c>
      <c r="AH39" s="10">
        <f t="shared" si="7"/>
        <v>2.3175669017760109E-2</v>
      </c>
      <c r="AI39" s="10">
        <f t="shared" si="14"/>
        <v>2.4087651490258929E-2</v>
      </c>
      <c r="AJ39" s="10">
        <f t="shared" si="8"/>
        <v>-0.14242509387443908</v>
      </c>
      <c r="AK39" s="10">
        <f t="shared" si="15"/>
        <v>-2.3894848509741076E-2</v>
      </c>
      <c r="AL39" s="10">
        <f t="shared" si="20"/>
        <v>-0.78657757117990135</v>
      </c>
      <c r="AM39" s="10">
        <f t="shared" si="17"/>
        <v>0.44902526565263873</v>
      </c>
      <c r="AN39" s="10">
        <f t="shared" si="10"/>
        <v>4.4614598589343933E-2</v>
      </c>
      <c r="AO39" s="10">
        <f t="shared" si="18"/>
        <v>0.36970106133241731</v>
      </c>
      <c r="AQ39" s="12">
        <v>0.6</v>
      </c>
    </row>
    <row r="40" spans="1:43" ht="14.4">
      <c r="A40" s="6">
        <f>'CPB Data'!A40:A91</f>
        <v>2009</v>
      </c>
      <c r="B40" s="7">
        <v>0</v>
      </c>
      <c r="C40" s="13">
        <v>0.1</v>
      </c>
      <c r="D40" s="14">
        <f>'Correcties CBS'!C16</f>
        <v>-5.3767377513834529E-2</v>
      </c>
      <c r="E40" s="14">
        <f t="shared" si="21"/>
        <v>5.3767377513834529E-2</v>
      </c>
      <c r="H40" s="17"/>
      <c r="I40" s="18"/>
      <c r="J40" s="10">
        <f>'CPB Data'!D40</f>
        <v>-3.1800000000000002E-2</v>
      </c>
      <c r="K40" s="10">
        <f>overheidsuitgaven_nominaal!U16*-1</f>
        <v>-8.1050711081871563E-2</v>
      </c>
      <c r="L40" s="10">
        <f>'CPB Data'!G40/100</f>
        <v>0.56799999999999995</v>
      </c>
      <c r="M40" s="10">
        <f>'CPB Data'!C40</f>
        <v>-3.5099999999999999E-2</v>
      </c>
      <c r="N40" s="10">
        <f>'CPB Data'!B40</f>
        <v>3.7199999999999997E-2</v>
      </c>
      <c r="O40" s="10">
        <f>'Marktrente NL'!C51</f>
        <v>3.687E-2</v>
      </c>
      <c r="P40" s="10">
        <f t="shared" si="0"/>
        <v>-3.2999999999999696E-4</v>
      </c>
      <c r="Q40" s="10">
        <f>Inflatie!E48/100</f>
        <v>1.9E-2</v>
      </c>
      <c r="R40" s="10">
        <f t="shared" si="1"/>
        <v>8.377775138345353E-4</v>
      </c>
      <c r="U40" s="10">
        <f>'AMECO Potential GDP'!C48</f>
        <v>1.0505778177997804E-2</v>
      </c>
      <c r="V40" s="10">
        <f>'AMECO Output Gap'!B46/100</f>
        <v>-2.6000000000000002E-2</v>
      </c>
      <c r="Y40" s="11">
        <f t="shared" si="2"/>
        <v>1.1129599999999995E-2</v>
      </c>
      <c r="Z40" s="10">
        <f t="shared" si="11"/>
        <v>8.7049999999999992E-3</v>
      </c>
      <c r="AA40" s="10">
        <f t="shared" si="12"/>
        <v>4.3684920321337087E-3</v>
      </c>
      <c r="AB40" s="10">
        <f t="shared" si="3"/>
        <v>1.8309247591386834E-3</v>
      </c>
      <c r="AC40" s="10">
        <f t="shared" si="19"/>
        <v>5.3216719065997536E-3</v>
      </c>
      <c r="AD40" s="10">
        <f t="shared" si="13"/>
        <v>1.1756690177601062E-3</v>
      </c>
      <c r="AE40" s="10">
        <f t="shared" si="4"/>
        <v>1.8309247591386834E-3</v>
      </c>
      <c r="AF40" s="10">
        <f t="shared" si="5"/>
        <v>-2.6000000000000002E-2</v>
      </c>
      <c r="AG40" s="10">
        <f t="shared" si="6"/>
        <v>-1.7295000000000005E-2</v>
      </c>
      <c r="AH40" s="10">
        <f t="shared" si="7"/>
        <v>-2.4824330982239896E-2</v>
      </c>
      <c r="AI40" s="10">
        <f t="shared" si="14"/>
        <v>-2.0678328093400249E-2</v>
      </c>
      <c r="AJ40" s="10">
        <f t="shared" si="8"/>
        <v>1.2103542256619422E-2</v>
      </c>
      <c r="AK40" s="10">
        <f t="shared" si="15"/>
        <v>-0.11580792809340025</v>
      </c>
      <c r="AL40" s="10">
        <f t="shared" si="20"/>
        <v>-0.88331499050847573</v>
      </c>
      <c r="AM40" s="10">
        <f t="shared" si="17"/>
        <v>0.45267484610148434</v>
      </c>
      <c r="AN40" s="10">
        <f t="shared" si="10"/>
        <v>-3.9285401410656062E-2</v>
      </c>
      <c r="AO40" s="10">
        <f t="shared" si="18"/>
        <v>0.36900750212699096</v>
      </c>
      <c r="AQ40" s="12">
        <v>0.6</v>
      </c>
    </row>
    <row r="41" spans="1:43" ht="14.4">
      <c r="A41" s="6">
        <f>'CPB Data'!A41:A92</f>
        <v>2010</v>
      </c>
      <c r="B41" s="7">
        <v>1</v>
      </c>
      <c r="C41" s="13">
        <v>-0.02</v>
      </c>
      <c r="D41" s="14">
        <f>'Correcties CBS'!C17</f>
        <v>-1.6722512916164601E-2</v>
      </c>
      <c r="E41" s="14">
        <f t="shared" si="21"/>
        <v>1.6722512916164601E-2</v>
      </c>
      <c r="H41" s="17">
        <v>-2.9000000000000001E-2</v>
      </c>
      <c r="I41" s="18">
        <v>1.6799999999999999E-2</v>
      </c>
      <c r="J41" s="10">
        <f>'CPB Data'!D41</f>
        <v>-3.56E-2</v>
      </c>
      <c r="K41" s="10">
        <f>overheidsuitgaven_nominaal!U17*-1</f>
        <v>-1.5032309908139307E-2</v>
      </c>
      <c r="L41" s="10">
        <f>'CPB Data'!G41/100</f>
        <v>0.59299999999999997</v>
      </c>
      <c r="M41" s="10">
        <f>'CPB Data'!C41</f>
        <v>2.2100000000000002E-2</v>
      </c>
      <c r="N41" s="10">
        <f>'CPB Data'!B41</f>
        <v>3.1399999999999997E-2</v>
      </c>
      <c r="O41" s="10">
        <f>'Marktrente NL'!C52</f>
        <v>2.9900000000000003E-2</v>
      </c>
      <c r="P41" s="10">
        <f t="shared" si="0"/>
        <v>-1.4999999999999944E-3</v>
      </c>
      <c r="Q41" s="10">
        <f>Inflatie!E49/100</f>
        <v>1.9E-2</v>
      </c>
      <c r="R41" s="10">
        <f t="shared" si="1"/>
        <v>-3.7497687083835399E-2</v>
      </c>
      <c r="U41" s="10">
        <f>'AMECO Potential GDP'!C49</f>
        <v>6.6834991831279389E-3</v>
      </c>
      <c r="V41" s="10">
        <f>'AMECO Output Gap'!B47/100</f>
        <v>-1.9E-2</v>
      </c>
      <c r="Y41" s="11">
        <f t="shared" si="2"/>
        <v>8.6201999999999963E-3</v>
      </c>
      <c r="Z41" s="10">
        <f t="shared" si="11"/>
        <v>8.6201999999999963E-3</v>
      </c>
      <c r="AA41" s="10">
        <f t="shared" si="12"/>
        <v>3.3831579705260921E-3</v>
      </c>
      <c r="AB41" s="10">
        <f t="shared" si="3"/>
        <v>2.4377744074040282E-3</v>
      </c>
      <c r="AC41" s="10">
        <f t="shared" si="19"/>
        <v>4.2450640759217548E-3</v>
      </c>
      <c r="AD41" s="10">
        <f t="shared" si="13"/>
        <v>3.3831579705260921E-3</v>
      </c>
      <c r="AE41" s="10">
        <f t="shared" si="4"/>
        <v>2.4377744074040282E-3</v>
      </c>
      <c r="AF41" s="10">
        <f t="shared" si="5"/>
        <v>-1.9E-2</v>
      </c>
      <c r="AG41" s="10">
        <f t="shared" si="6"/>
        <v>-1.0379800000000003E-2</v>
      </c>
      <c r="AH41" s="10">
        <f t="shared" si="7"/>
        <v>-1.5616842029473908E-2</v>
      </c>
      <c r="AI41" s="10">
        <f t="shared" si="14"/>
        <v>-1.4754935924078245E-2</v>
      </c>
      <c r="AJ41" s="10">
        <f t="shared" si="8"/>
        <v>-1.3203683768437707E-2</v>
      </c>
      <c r="AK41" s="10">
        <f t="shared" si="15"/>
        <v>5.6248640759217587E-3</v>
      </c>
      <c r="AL41" s="10">
        <f t="shared" si="20"/>
        <v>-0.89755776746561622</v>
      </c>
      <c r="AM41" s="10">
        <f t="shared" si="17"/>
        <v>0.45571193169198732</v>
      </c>
      <c r="AN41" s="10">
        <f t="shared" si="10"/>
        <v>1.0110105217684347E-2</v>
      </c>
      <c r="AO41" s="10">
        <f t="shared" si="18"/>
        <v>0.37569039736049947</v>
      </c>
      <c r="AQ41" s="12">
        <v>0.6</v>
      </c>
    </row>
    <row r="42" spans="1:43" ht="14.4">
      <c r="A42" s="6">
        <f>'CPB Data'!A42:A93</f>
        <v>2011</v>
      </c>
      <c r="B42" s="7">
        <v>0</v>
      </c>
      <c r="C42" s="13">
        <v>-0.02</v>
      </c>
      <c r="D42" s="14">
        <f>'Correcties CBS'!C18</f>
        <v>-1.0294117647058823E-2</v>
      </c>
      <c r="E42" s="14">
        <f t="shared" si="21"/>
        <v>1.0294117647058823E-2</v>
      </c>
      <c r="H42" s="17"/>
      <c r="I42" s="18"/>
      <c r="J42" s="10">
        <f>'CPB Data'!D42</f>
        <v>-2.6499999999999999E-2</v>
      </c>
      <c r="K42" s="10">
        <f>overheidsuitgaven_nominaal!U18*-1</f>
        <v>2.6442824305141555E-2</v>
      </c>
      <c r="L42" s="10">
        <f>'CPB Data'!G42/100</f>
        <v>0.61699999999999999</v>
      </c>
      <c r="M42" s="10">
        <f>'CPB Data'!C42</f>
        <v>1.7999999999999999E-2</v>
      </c>
      <c r="N42" s="10">
        <f>'CPB Data'!B42</f>
        <v>3.0200000000000001E-2</v>
      </c>
      <c r="O42" s="10">
        <f>'Marktrente NL'!C53</f>
        <v>2.989E-2</v>
      </c>
      <c r="P42" s="10">
        <f t="shared" si="0"/>
        <v>-3.1000000000000125E-4</v>
      </c>
      <c r="Q42" s="10">
        <f>Inflatie!E50/100</f>
        <v>0.02</v>
      </c>
      <c r="R42" s="10">
        <f t="shared" si="1"/>
        <v>-3.4839282352941182E-2</v>
      </c>
      <c r="U42" s="10">
        <f>'AMECO Potential GDP'!C50</f>
        <v>7.6718796105046394E-3</v>
      </c>
      <c r="V42" s="10">
        <f>'AMECO Output Gap'!B48/100</f>
        <v>-1.2E-2</v>
      </c>
      <c r="Y42" s="11">
        <f t="shared" si="2"/>
        <v>8.6334000000000011E-3</v>
      </c>
      <c r="Z42" s="10">
        <f t="shared" si="11"/>
        <v>8.6201999999999963E-3</v>
      </c>
      <c r="AA42" s="10">
        <f t="shared" si="12"/>
        <v>2.5398455097019458E-3</v>
      </c>
      <c r="AB42" s="10">
        <f t="shared" si="3"/>
        <v>2.4377744074040282E-3</v>
      </c>
      <c r="AC42" s="10">
        <f t="shared" si="19"/>
        <v>3.3050009940736773E-3</v>
      </c>
      <c r="AD42" s="10">
        <f t="shared" si="13"/>
        <v>3.3831579705260921E-3</v>
      </c>
      <c r="AE42" s="10">
        <f t="shared" si="4"/>
        <v>2.4377744074040282E-3</v>
      </c>
      <c r="AF42" s="10">
        <f t="shared" si="5"/>
        <v>-1.2E-2</v>
      </c>
      <c r="AG42" s="10">
        <f t="shared" si="6"/>
        <v>-3.379800000000004E-3</v>
      </c>
      <c r="AH42" s="10">
        <f t="shared" si="7"/>
        <v>-8.616842029473909E-3</v>
      </c>
      <c r="AI42" s="10">
        <f t="shared" si="14"/>
        <v>-8.6949990059263238E-3</v>
      </c>
      <c r="AJ42" s="10">
        <f t="shared" si="8"/>
        <v>-1.2200400338826982E-2</v>
      </c>
      <c r="AK42" s="10">
        <f t="shared" si="15"/>
        <v>4.6716009940736755E-3</v>
      </c>
      <c r="AL42" s="10">
        <f t="shared" si="20"/>
        <v>-0.91510641423392602</v>
      </c>
      <c r="AM42" s="10">
        <f t="shared" si="17"/>
        <v>0.45952569392092374</v>
      </c>
      <c r="AN42" s="10">
        <f t="shared" si="10"/>
        <v>7.2701052176843452E-3</v>
      </c>
      <c r="AO42" s="10">
        <f t="shared" si="18"/>
        <v>0.38257759239257916</v>
      </c>
      <c r="AQ42" s="12">
        <v>0.6</v>
      </c>
    </row>
    <row r="43" spans="1:43" ht="14.4">
      <c r="A43" s="6">
        <f>'CPB Data'!A43:A94</f>
        <v>2012</v>
      </c>
      <c r="B43" s="7">
        <v>1</v>
      </c>
      <c r="C43" s="13">
        <v>-0.02</v>
      </c>
      <c r="D43" s="14">
        <f>'Correcties CBS'!C19</f>
        <v>8.8606777142487964E-3</v>
      </c>
      <c r="E43" s="14">
        <f t="shared" si="21"/>
        <v>-8.8606777142487964E-3</v>
      </c>
      <c r="H43" s="17">
        <v>-2.5999999999999999E-2</v>
      </c>
      <c r="I43" s="18">
        <v>1.8599999999999998E-2</v>
      </c>
      <c r="J43" s="10">
        <f>'CPB Data'!D43</f>
        <v>-2.2499999999999999E-2</v>
      </c>
      <c r="K43" s="10">
        <f>overheidsuitgaven_nominaal!U19*-1</f>
        <v>9.0552927222486979E-4</v>
      </c>
      <c r="L43" s="10">
        <f>'CPB Data'!G43/100</f>
        <v>0.66200000000000003</v>
      </c>
      <c r="M43" s="10">
        <f>'CPB Data'!C43</f>
        <v>3.8999999999999998E-3</v>
      </c>
      <c r="N43" s="10">
        <f>'CPB Data'!B43</f>
        <v>2.7199999999999998E-2</v>
      </c>
      <c r="O43" s="10">
        <f>'Marktrente NL'!C54</f>
        <v>1.932E-2</v>
      </c>
      <c r="P43" s="10">
        <f t="shared" si="0"/>
        <v>-7.8799999999999981E-3</v>
      </c>
      <c r="Q43" s="10">
        <f>Inflatie!E51/100</f>
        <v>0.02</v>
      </c>
      <c r="R43" s="10">
        <f t="shared" si="1"/>
        <v>-4.9367077714248794E-2</v>
      </c>
      <c r="U43" s="10">
        <f>'AMECO Potential GDP'!C51</f>
        <v>4.3923865300146137E-3</v>
      </c>
      <c r="V43" s="10">
        <f>'AMECO Output Gap'!B49/100</f>
        <v>-2.6000000000000002E-2</v>
      </c>
      <c r="Y43" s="11">
        <f t="shared" si="2"/>
        <v>8.0063999999999986E-3</v>
      </c>
      <c r="Z43" s="10">
        <f t="shared" si="11"/>
        <v>8.0063999999999986E-3</v>
      </c>
      <c r="AA43" s="10">
        <f t="shared" si="12"/>
        <v>1.1304544761298544E-3</v>
      </c>
      <c r="AB43" s="10">
        <f t="shared" si="3"/>
        <v>-3.2779625532401479E-3</v>
      </c>
      <c r="AC43" s="10">
        <f t="shared" si="19"/>
        <v>1.5178485577612684E-3</v>
      </c>
      <c r="AD43" s="10">
        <f t="shared" si="13"/>
        <v>1.1304544761298544E-3</v>
      </c>
      <c r="AE43" s="10">
        <f t="shared" si="4"/>
        <v>-3.2779625532401479E-3</v>
      </c>
      <c r="AF43" s="10">
        <f t="shared" si="5"/>
        <v>-2.6000000000000002E-2</v>
      </c>
      <c r="AG43" s="10">
        <f t="shared" si="6"/>
        <v>-1.7993600000000005E-2</v>
      </c>
      <c r="AH43" s="10">
        <f t="shared" si="7"/>
        <v>-2.4869545523870148E-2</v>
      </c>
      <c r="AI43" s="10">
        <f t="shared" si="14"/>
        <v>-2.4482151442238732E-2</v>
      </c>
      <c r="AJ43" s="10">
        <f t="shared" si="8"/>
        <v>-4.7433317606199843E-2</v>
      </c>
      <c r="AK43" s="10">
        <f t="shared" si="15"/>
        <v>3.5114485577612715E-3</v>
      </c>
      <c r="AL43" s="10">
        <f t="shared" si="20"/>
        <v>-0.9095956081151908</v>
      </c>
      <c r="AM43" s="10">
        <f t="shared" si="17"/>
        <v>0.50379023412062129</v>
      </c>
      <c r="AN43" s="10">
        <f t="shared" si="10"/>
        <v>5.3217273143220892E-3</v>
      </c>
      <c r="AO43" s="10">
        <f t="shared" si="18"/>
        <v>0.42445509188757513</v>
      </c>
      <c r="AQ43" s="12">
        <v>0.6</v>
      </c>
    </row>
    <row r="44" spans="1:43" ht="14.4">
      <c r="A44" s="6">
        <f>'CPB Data'!A44:A95</f>
        <v>2013</v>
      </c>
      <c r="B44" s="7">
        <v>0</v>
      </c>
      <c r="C44" s="13">
        <v>0.01</v>
      </c>
      <c r="D44" s="14">
        <f>'Correcties CBS'!C20</f>
        <v>-7.8332482124616951E-3</v>
      </c>
      <c r="E44" s="14">
        <f t="shared" si="21"/>
        <v>7.8332482124616951E-3</v>
      </c>
      <c r="H44" s="17"/>
      <c r="I44" s="18"/>
      <c r="J44" s="10">
        <f>'CPB Data'!D44</f>
        <v>-1.4E-2</v>
      </c>
      <c r="K44" s="10">
        <f>overheidsuitgaven_nominaal!U20*-1</f>
        <v>7.1287660726997437E-3</v>
      </c>
      <c r="L44" s="10">
        <f>'CPB Data'!G44/100</f>
        <v>0.67700000000000005</v>
      </c>
      <c r="M44" s="10">
        <f>'CPB Data'!C44</f>
        <v>1.2E-2</v>
      </c>
      <c r="N44" s="10">
        <f>'CPB Data'!B44</f>
        <v>2.35E-2</v>
      </c>
      <c r="O44" s="10">
        <f>'Marktrente NL'!C55</f>
        <v>1.9610000000000002E-2</v>
      </c>
      <c r="P44" s="10">
        <f t="shared" si="0"/>
        <v>-3.8899999999999976E-3</v>
      </c>
      <c r="Q44" s="10">
        <f>Inflatie!E52/100</f>
        <v>0.02</v>
      </c>
      <c r="R44" s="10">
        <f t="shared" si="1"/>
        <v>-2.2076251787538304E-2</v>
      </c>
      <c r="U44" s="10">
        <f>'AMECO Potential GDP'!C52</f>
        <v>3.7900874635568016E-3</v>
      </c>
      <c r="V44" s="10">
        <f>'AMECO Output Gap'!B50/100</f>
        <v>-3.1E-2</v>
      </c>
      <c r="Y44" s="11">
        <f t="shared" si="2"/>
        <v>5.9094999999999998E-3</v>
      </c>
      <c r="Z44" s="10">
        <f t="shared" si="11"/>
        <v>8.0063999999999986E-3</v>
      </c>
      <c r="AA44" s="10">
        <f t="shared" si="12"/>
        <v>1.3807680201093006E-3</v>
      </c>
      <c r="AB44" s="10">
        <f t="shared" si="3"/>
        <v>-3.2779625532401479E-3</v>
      </c>
      <c r="AC44" s="10">
        <f t="shared" si="19"/>
        <v>1.8143829860217254E-3</v>
      </c>
      <c r="AD44" s="10">
        <f t="shared" si="13"/>
        <v>1.1304544761298544E-3</v>
      </c>
      <c r="AE44" s="10">
        <f t="shared" si="4"/>
        <v>-3.2779625532401479E-3</v>
      </c>
      <c r="AF44" s="10">
        <f t="shared" si="5"/>
        <v>-3.1E-2</v>
      </c>
      <c r="AG44" s="10">
        <f t="shared" si="6"/>
        <v>-2.2993600000000003E-2</v>
      </c>
      <c r="AH44" s="10">
        <f t="shared" si="7"/>
        <v>-2.9869545523870146E-2</v>
      </c>
      <c r="AI44" s="10">
        <f t="shared" si="14"/>
        <v>-2.9185617013978274E-2</v>
      </c>
      <c r="AJ44" s="10">
        <f t="shared" si="8"/>
        <v>-3.4521615142876647E-2</v>
      </c>
      <c r="AK44" s="10">
        <f t="shared" si="15"/>
        <v>-2.4095117013978276E-2</v>
      </c>
      <c r="AL44" s="10">
        <f t="shared" si="20"/>
        <v>-0.90495133707347775</v>
      </c>
      <c r="AM44" s="10">
        <f t="shared" si="17"/>
        <v>0.53129012048800828</v>
      </c>
      <c r="AN44" s="10">
        <f t="shared" si="10"/>
        <v>2.1521727314322087E-2</v>
      </c>
      <c r="AO44" s="10">
        <f t="shared" si="18"/>
        <v>0.44684911896924062</v>
      </c>
      <c r="AQ44" s="12">
        <v>0.6</v>
      </c>
    </row>
    <row r="45" spans="1:43" ht="14.4">
      <c r="A45" s="6">
        <f>'CPB Data'!A45:A96</f>
        <v>2014</v>
      </c>
      <c r="B45" s="7">
        <v>0</v>
      </c>
      <c r="C45" s="13">
        <v>0</v>
      </c>
      <c r="D45" s="14">
        <f>'Correcties CBS'!C21</f>
        <v>-9.9366015943757446E-3</v>
      </c>
      <c r="E45" s="14">
        <f t="shared" si="21"/>
        <v>9.9366015943757446E-3</v>
      </c>
      <c r="H45" s="17"/>
      <c r="I45" s="18"/>
      <c r="J45" s="10">
        <f>'CPB Data'!D45</f>
        <v>-7.9000000000000008E-3</v>
      </c>
      <c r="K45" s="10">
        <f>overheidsuitgaven_nominaal!U21*-1</f>
        <v>1.3756038113226898E-2</v>
      </c>
      <c r="L45" s="10">
        <f>'CPB Data'!G45/100</f>
        <v>0.67900000000000005</v>
      </c>
      <c r="M45" s="10">
        <f>'CPB Data'!C45</f>
        <v>1.7000000000000001E-2</v>
      </c>
      <c r="N45" s="10">
        <f>'CPB Data'!B45</f>
        <v>2.1700000000000001E-2</v>
      </c>
      <c r="O45" s="10">
        <f>'Marktrente NL'!C56</f>
        <v>1.455E-2</v>
      </c>
      <c r="P45" s="10">
        <f t="shared" si="0"/>
        <v>-7.1500000000000001E-3</v>
      </c>
      <c r="Q45" s="10">
        <f>Inflatie!E53/100</f>
        <v>1.9E-2</v>
      </c>
      <c r="R45" s="10">
        <f t="shared" si="1"/>
        <v>-1.2697698405624258E-2</v>
      </c>
      <c r="U45" s="10">
        <f>'AMECO Potential GDP'!C53</f>
        <v>5.3732210281729476E-3</v>
      </c>
      <c r="V45" s="10">
        <f>'AMECO Output Gap'!B51/100</f>
        <v>-2.2000000000000002E-2</v>
      </c>
      <c r="Y45" s="11">
        <f t="shared" si="2"/>
        <v>4.734300000000002E-3</v>
      </c>
      <c r="Z45" s="10">
        <f t="shared" si="11"/>
        <v>8.0063999999999986E-3</v>
      </c>
      <c r="AA45" s="10">
        <f t="shared" si="12"/>
        <v>-1.5053926127275651E-4</v>
      </c>
      <c r="AB45" s="10">
        <f t="shared" si="3"/>
        <v>-3.2779625532401479E-3</v>
      </c>
      <c r="AC45" s="10">
        <f t="shared" si="19"/>
        <v>-1.9182566351514998E-4</v>
      </c>
      <c r="AD45" s="10">
        <f t="shared" si="13"/>
        <v>1.1304544761298544E-3</v>
      </c>
      <c r="AE45" s="10">
        <f t="shared" si="4"/>
        <v>-3.2779625532401479E-3</v>
      </c>
      <c r="AF45" s="10">
        <f t="shared" si="5"/>
        <v>-2.2000000000000002E-2</v>
      </c>
      <c r="AG45" s="10">
        <f t="shared" si="6"/>
        <v>-1.3993600000000004E-2</v>
      </c>
      <c r="AH45" s="10">
        <f t="shared" si="7"/>
        <v>-2.0869545523870148E-2</v>
      </c>
      <c r="AI45" s="10">
        <f t="shared" si="14"/>
        <v>-2.2191825663515151E-2</v>
      </c>
      <c r="AJ45" s="10">
        <f t="shared" si="8"/>
        <v>-2.2748499192716043E-2</v>
      </c>
      <c r="AK45" s="10">
        <f t="shared" si="15"/>
        <v>-1.4926125663515153E-2</v>
      </c>
      <c r="AL45" s="10">
        <f t="shared" si="20"/>
        <v>-0.90514432908785447</v>
      </c>
      <c r="AM45" s="10">
        <f t="shared" si="17"/>
        <v>0.54449563424984526</v>
      </c>
      <c r="AN45" s="10">
        <f t="shared" si="10"/>
        <v>2.4781727314322089E-2</v>
      </c>
      <c r="AO45" s="10">
        <f t="shared" si="18"/>
        <v>0.45617391130255974</v>
      </c>
      <c r="AQ45" s="12">
        <v>0.6</v>
      </c>
    </row>
    <row r="46" spans="1:43" ht="14.4">
      <c r="A46" s="6">
        <f>'CPB Data'!A46:A97</f>
        <v>2015</v>
      </c>
      <c r="B46" s="7">
        <v>0</v>
      </c>
      <c r="C46" s="13">
        <v>0</v>
      </c>
      <c r="D46" s="14">
        <f>'Correcties CBS'!C22</f>
        <v>-3.5338380292438722E-2</v>
      </c>
      <c r="E46" s="14">
        <f t="shared" si="21"/>
        <v>3.5338380292438722E-2</v>
      </c>
      <c r="H46" s="17"/>
      <c r="I46" s="18"/>
      <c r="J46" s="10">
        <f>'CPB Data'!D46</f>
        <v>-6.4000000000000003E-3</v>
      </c>
      <c r="K46" s="10">
        <f>overheidsuitgaven_nominaal!U22*-1</f>
        <v>2.5920520587933593E-2</v>
      </c>
      <c r="L46" s="10">
        <f>'CPB Data'!G46/100</f>
        <v>0.64599999999999991</v>
      </c>
      <c r="M46" s="10">
        <f>'CPB Data'!C46</f>
        <v>2.8199999999999999E-2</v>
      </c>
      <c r="N46" s="10">
        <f>'CPB Data'!B46</f>
        <v>1.9199999999999998E-2</v>
      </c>
      <c r="O46" s="10">
        <f>'Marktrente NL'!C57</f>
        <v>6.8999999999999999E-3</v>
      </c>
      <c r="P46" s="10">
        <f t="shared" si="0"/>
        <v>-1.2299999999999998E-2</v>
      </c>
      <c r="Q46" s="10">
        <f>Inflatie!E54/100</f>
        <v>1.8000000000000002E-2</v>
      </c>
      <c r="R46" s="10">
        <f t="shared" si="1"/>
        <v>1.6535180292438723E-2</v>
      </c>
      <c r="U46" s="10">
        <f>'AMECO Potential GDP'!C54</f>
        <v>1.3577928643651704E-2</v>
      </c>
      <c r="V46" s="10">
        <f>'AMECO Output Gap'!B52/100</f>
        <v>-1.7000000000000001E-2</v>
      </c>
      <c r="Y46" s="11">
        <f t="shared" si="2"/>
        <v>2.4031999999999977E-3</v>
      </c>
      <c r="Z46" s="10">
        <f t="shared" si="11"/>
        <v>8.0063999999999986E-3</v>
      </c>
      <c r="AA46" s="10">
        <f t="shared" si="12"/>
        <v>-1.4209246682220361E-3</v>
      </c>
      <c r="AB46" s="10">
        <f t="shared" si="3"/>
        <v>-3.2779625532401479E-3</v>
      </c>
      <c r="AC46" s="10">
        <f t="shared" si="19"/>
        <v>-1.7719294499982244E-3</v>
      </c>
      <c r="AD46" s="10">
        <f t="shared" si="13"/>
        <v>1.1304544761298544E-3</v>
      </c>
      <c r="AE46" s="10">
        <f t="shared" si="4"/>
        <v>-3.2779625532401479E-3</v>
      </c>
      <c r="AF46" s="10">
        <f t="shared" si="5"/>
        <v>-1.7000000000000001E-2</v>
      </c>
      <c r="AG46" s="10">
        <f t="shared" si="6"/>
        <v>-8.9936000000000026E-3</v>
      </c>
      <c r="AH46" s="10">
        <f t="shared" si="7"/>
        <v>-1.5869545523870147E-2</v>
      </c>
      <c r="AI46" s="10">
        <f t="shared" si="14"/>
        <v>-1.8771929449998226E-2</v>
      </c>
      <c r="AJ46" s="10">
        <f t="shared" si="8"/>
        <v>9.4695764329817481E-3</v>
      </c>
      <c r="AK46" s="10">
        <f t="shared" si="15"/>
        <v>-1.4175129449998223E-2</v>
      </c>
      <c r="AL46" s="10">
        <f t="shared" si="20"/>
        <v>-0.92284368848354403</v>
      </c>
      <c r="AM46" s="10">
        <f t="shared" si="17"/>
        <v>0.52079470497848057</v>
      </c>
      <c r="AN46" s="10">
        <f t="shared" si="10"/>
        <v>3.388172731432209E-2</v>
      </c>
      <c r="AO46" s="10">
        <f t="shared" si="18"/>
        <v>0.43086515977815498</v>
      </c>
      <c r="AQ46" s="12">
        <v>0.6</v>
      </c>
    </row>
    <row r="47" spans="1:43" ht="14.4">
      <c r="A47" s="6">
        <f>'CPB Data'!A47:A98</f>
        <v>2016</v>
      </c>
      <c r="B47" s="7">
        <v>0</v>
      </c>
      <c r="C47" s="13">
        <v>-0.04</v>
      </c>
      <c r="D47" s="14">
        <f>'Correcties CBS'!C23</f>
        <v>-9.975629328023301E-3</v>
      </c>
      <c r="E47" s="14">
        <f t="shared" si="21"/>
        <v>9.975629328023301E-3</v>
      </c>
      <c r="H47" s="17"/>
      <c r="I47" s="18"/>
      <c r="J47" s="10">
        <f>'CPB Data'!D47</f>
        <v>1.2800000000000001E-2</v>
      </c>
      <c r="K47" s="10">
        <f>overheidsuitgaven_nominaal!U23*-1</f>
        <v>3.8474263493297078E-2</v>
      </c>
      <c r="L47" s="10">
        <f>'CPB Data'!G47/100</f>
        <v>0.61899999999999999</v>
      </c>
      <c r="M47" s="10">
        <f>'CPB Data'!C47</f>
        <v>2.7099999999999999E-2</v>
      </c>
      <c r="N47" s="10">
        <f>'CPB Data'!B47</f>
        <v>1.78E-2</v>
      </c>
      <c r="O47" s="10">
        <f>'Marktrente NL'!C58</f>
        <v>2.9099999999999998E-3</v>
      </c>
      <c r="P47" s="10">
        <f t="shared" si="0"/>
        <v>-1.489E-2</v>
      </c>
      <c r="Q47" s="10">
        <f>Inflatie!E55/100</f>
        <v>1.8000000000000002E-2</v>
      </c>
      <c r="R47" s="10">
        <f t="shared" si="1"/>
        <v>1.1757429328023301E-2</v>
      </c>
      <c r="U47" s="10">
        <f>'AMECO Potential GDP'!C55</f>
        <v>1.2968505059141933E-2</v>
      </c>
      <c r="V47" s="10">
        <f>'AMECO Output Gap'!B53/100</f>
        <v>-8.0000000000000002E-3</v>
      </c>
      <c r="Y47" s="11">
        <f t="shared" si="2"/>
        <v>1.0182000000000004E-3</v>
      </c>
      <c r="Z47" s="10">
        <f t="shared" si="11"/>
        <v>8.0063999999999986E-3</v>
      </c>
      <c r="AA47" s="10">
        <f t="shared" si="12"/>
        <v>-6.2490283256555141E-3</v>
      </c>
      <c r="AB47" s="10">
        <f t="shared" si="3"/>
        <v>-3.2779625532401479E-3</v>
      </c>
      <c r="AC47" s="10">
        <f t="shared" si="19"/>
        <v>-7.7513697043833547E-3</v>
      </c>
      <c r="AD47" s="10">
        <f t="shared" si="13"/>
        <v>1.1304544761298544E-3</v>
      </c>
      <c r="AE47" s="10">
        <f t="shared" si="4"/>
        <v>-3.2779625532401479E-3</v>
      </c>
      <c r="AF47" s="10">
        <f t="shared" si="5"/>
        <v>-8.0000000000000002E-3</v>
      </c>
      <c r="AG47" s="10">
        <f t="shared" si="6"/>
        <v>6.3999999999984208E-6</v>
      </c>
      <c r="AH47" s="10">
        <f t="shared" si="7"/>
        <v>-6.8695455238701455E-3</v>
      </c>
      <c r="AI47" s="10">
        <f t="shared" si="14"/>
        <v>-1.5751369704383355E-2</v>
      </c>
      <c r="AJ47" s="10">
        <f t="shared" si="8"/>
        <v>-6.0262947872482767E-3</v>
      </c>
      <c r="AK47" s="10">
        <f t="shared" si="15"/>
        <v>2.1230430295616644E-2</v>
      </c>
      <c r="AL47" s="10">
        <f t="shared" si="20"/>
        <v>-0.92420634355620146</v>
      </c>
      <c r="AM47" s="10">
        <f t="shared" si="17"/>
        <v>0.51305497704502423</v>
      </c>
      <c r="AN47" s="10">
        <f t="shared" si="10"/>
        <v>3.8901727314322086E-2</v>
      </c>
      <c r="AO47" s="10">
        <f t="shared" si="18"/>
        <v>0.41912383469000919</v>
      </c>
      <c r="AQ47" s="12">
        <v>0.6</v>
      </c>
    </row>
    <row r="48" spans="1:43" ht="14.4">
      <c r="A48" s="6">
        <f>'CPB Data'!A48:A99</f>
        <v>2017</v>
      </c>
      <c r="B48" s="7">
        <v>1</v>
      </c>
      <c r="C48" s="13">
        <v>0</v>
      </c>
      <c r="D48" s="14">
        <f>'Correcties CBS'!C24</f>
        <v>-1.1363441963903858E-2</v>
      </c>
      <c r="E48" s="14">
        <f t="shared" si="21"/>
        <v>1.1363441963903858E-2</v>
      </c>
      <c r="H48" s="17">
        <v>6.0000000000000001E-3</v>
      </c>
      <c r="I48" s="18">
        <v>0</v>
      </c>
      <c r="J48" s="10">
        <f>'CPB Data'!D48</f>
        <v>2.3699999999999999E-2</v>
      </c>
      <c r="K48" s="10">
        <f>overheidsuitgaven_nominaal!U24*-1</f>
        <v>2.3331578153400034E-2</v>
      </c>
      <c r="L48" s="10">
        <f>'CPB Data'!G48/100</f>
        <v>0.56999999999999995</v>
      </c>
      <c r="M48" s="10">
        <f>'CPB Data'!C48</f>
        <v>4.24E-2</v>
      </c>
      <c r="N48" s="10">
        <f>'CPB Data'!B48</f>
        <v>1.6199999999999999E-2</v>
      </c>
      <c r="O48" s="10">
        <f>'Marktrente NL'!C59</f>
        <v>5.2199999999999998E-3</v>
      </c>
      <c r="P48" s="10">
        <f t="shared" si="0"/>
        <v>-1.098E-2</v>
      </c>
      <c r="Q48" s="10">
        <f>Inflatie!E56/100</f>
        <v>1.8000000000000002E-2</v>
      </c>
      <c r="R48" s="10">
        <f t="shared" si="1"/>
        <v>2.5829441963903858E-2</v>
      </c>
      <c r="U48" s="10">
        <f>'AMECO Potential GDP'!C56</f>
        <v>1.5194147439504979E-2</v>
      </c>
      <c r="V48" s="10">
        <f>'AMECO Output Gap'!B54/100</f>
        <v>6.0000000000000001E-3</v>
      </c>
      <c r="Y48" s="11">
        <f t="shared" si="2"/>
        <v>-7.6600000000000106E-4</v>
      </c>
      <c r="Z48" s="10">
        <f t="shared" si="11"/>
        <v>-7.6600000000000106E-4</v>
      </c>
      <c r="AA48" s="10">
        <f t="shared" si="12"/>
        <v>-6.5532235249492849E-3</v>
      </c>
      <c r="AB48" s="10">
        <f t="shared" si="3"/>
        <v>-1.5432979445377134E-2</v>
      </c>
      <c r="AC48" s="10">
        <f t="shared" si="19"/>
        <v>-7.9064535837991209E-3</v>
      </c>
      <c r="AD48" s="10">
        <f t="shared" si="13"/>
        <v>-6.5532235249492849E-3</v>
      </c>
      <c r="AE48" s="10">
        <f t="shared" si="4"/>
        <v>-1.5432979445377134E-2</v>
      </c>
      <c r="AF48" s="10">
        <f t="shared" si="5"/>
        <v>6.0000000000000001E-3</v>
      </c>
      <c r="AG48" s="10">
        <f t="shared" si="6"/>
        <v>5.2339999999999991E-3</v>
      </c>
      <c r="AH48" s="10">
        <f t="shared" si="7"/>
        <v>-5.5322352494928482E-4</v>
      </c>
      <c r="AI48" s="10">
        <f t="shared" si="14"/>
        <v>-1.9064535837991208E-3</v>
      </c>
      <c r="AJ48" s="10">
        <f t="shared" si="8"/>
        <v>2.875633598591925E-3</v>
      </c>
      <c r="AK48" s="10">
        <f t="shared" si="15"/>
        <v>-1.714045358379912E-2</v>
      </c>
      <c r="AL48" s="10">
        <f t="shared" si="20"/>
        <v>-0.91689939398092457</v>
      </c>
      <c r="AM48" s="10">
        <f t="shared" si="17"/>
        <v>0.48978918767670671</v>
      </c>
      <c r="AN48" s="10">
        <f t="shared" si="10"/>
        <v>5.6951934114969571E-2</v>
      </c>
      <c r="AO48" s="10">
        <f t="shared" si="18"/>
        <v>0.39273632884793042</v>
      </c>
      <c r="AQ48" s="12">
        <v>0.6</v>
      </c>
    </row>
    <row r="49" spans="1:43" ht="14.4">
      <c r="A49" s="6">
        <f>'CPB Data'!A49:A100</f>
        <v>2018</v>
      </c>
      <c r="B49" s="7">
        <v>0</v>
      </c>
      <c r="C49" s="13">
        <v>-0.01</v>
      </c>
      <c r="D49" s="14">
        <f>'Correcties CBS'!C25</f>
        <v>-3.960409500632197E-3</v>
      </c>
      <c r="E49" s="14">
        <f t="shared" si="21"/>
        <v>3.960409500632197E-3</v>
      </c>
      <c r="H49" s="19"/>
      <c r="I49" s="19"/>
      <c r="J49" s="10">
        <f>'CPB Data'!D49</f>
        <v>2.4E-2</v>
      </c>
      <c r="K49" s="10">
        <f>overheidsuitgaven_nominaal!U25*-1</f>
        <v>-2.7377341102289288E-3</v>
      </c>
      <c r="L49" s="10">
        <f>'CPB Data'!G49/100</f>
        <v>0.52400000000000002</v>
      </c>
      <c r="M49" s="10">
        <f>'CPB Data'!C49</f>
        <v>4.8599999999999997E-2</v>
      </c>
      <c r="N49" s="10">
        <f>'CPB Data'!B49</f>
        <v>1.5699999999999999E-2</v>
      </c>
      <c r="O49" s="10">
        <f>'Marktrente NL'!C60</f>
        <v>5.77E-3</v>
      </c>
      <c r="P49" s="10">
        <f t="shared" si="0"/>
        <v>-9.9299999999999979E-3</v>
      </c>
      <c r="Q49" s="10">
        <f>Inflatie!E57/100</f>
        <v>1.9E-2</v>
      </c>
      <c r="R49" s="10">
        <f t="shared" si="1"/>
        <v>1.9733609500632198E-2</v>
      </c>
      <c r="U49" s="10">
        <f>'AMECO Potential GDP'!C57</f>
        <v>1.6352549889135259E-2</v>
      </c>
      <c r="V49" s="10">
        <f>'AMECO Output Gap'!B55/100</f>
        <v>1.3000000000000001E-2</v>
      </c>
      <c r="Y49" s="11">
        <f t="shared" si="2"/>
        <v>-1.7732000000000008E-3</v>
      </c>
      <c r="Z49" s="10">
        <f t="shared" si="11"/>
        <v>-7.6600000000000106E-4</v>
      </c>
      <c r="AA49" s="10">
        <f t="shared" si="12"/>
        <v>-8.056133196535243E-3</v>
      </c>
      <c r="AB49" s="10">
        <f t="shared" si="3"/>
        <v>-1.5432979445377134E-2</v>
      </c>
      <c r="AC49" s="10">
        <f t="shared" si="19"/>
        <v>-9.3754538433300592E-3</v>
      </c>
      <c r="AD49" s="10">
        <f t="shared" si="13"/>
        <v>-6.5532235249492849E-3</v>
      </c>
      <c r="AE49" s="10">
        <f t="shared" si="4"/>
        <v>-1.5432979445377134E-2</v>
      </c>
      <c r="AF49" s="10">
        <f t="shared" si="5"/>
        <v>1.3000000000000001E-2</v>
      </c>
      <c r="AG49" s="10">
        <f t="shared" si="6"/>
        <v>1.2234E-2</v>
      </c>
      <c r="AH49" s="10">
        <f t="shared" si="7"/>
        <v>6.4467764750507162E-3</v>
      </c>
      <c r="AI49" s="10">
        <f t="shared" si="14"/>
        <v>3.624546156669942E-3</v>
      </c>
      <c r="AJ49" s="10">
        <f t="shared" si="8"/>
        <v>3.1145810132792284E-3</v>
      </c>
      <c r="AK49" s="10">
        <f t="shared" si="15"/>
        <v>-7.6022538433300566E-3</v>
      </c>
      <c r="AL49" s="10">
        <f t="shared" si="20"/>
        <v>-0.90357536140287742</v>
      </c>
      <c r="AM49" s="10">
        <f t="shared" si="17"/>
        <v>0.46449713136329207</v>
      </c>
      <c r="AN49" s="10">
        <f t="shared" si="10"/>
        <v>5.9131934114969566E-2</v>
      </c>
      <c r="AO49" s="10">
        <f t="shared" si="18"/>
        <v>0.36680520218644314</v>
      </c>
      <c r="AQ49" s="12">
        <v>0.6</v>
      </c>
    </row>
    <row r="50" spans="1:43" ht="14.4">
      <c r="A50" s="6">
        <f>'CPB Data'!A50:A101</f>
        <v>2019</v>
      </c>
      <c r="B50" s="7">
        <v>0</v>
      </c>
      <c r="C50" s="13">
        <v>0</v>
      </c>
      <c r="D50" s="14">
        <f>'Correcties CBS'!C26</f>
        <v>4.5991588482691683E-3</v>
      </c>
      <c r="E50" s="14">
        <f t="shared" si="21"/>
        <v>-4.5991588482691683E-3</v>
      </c>
      <c r="H50" s="19"/>
      <c r="I50" s="19"/>
      <c r="J50" s="10">
        <f>'CPB Data'!D50</f>
        <v>2.5700000000000001E-2</v>
      </c>
      <c r="K50" s="10">
        <f>overheidsuitgaven_nominaal!U26*-1</f>
        <v>2.3593058778642595E-3</v>
      </c>
      <c r="L50" s="10">
        <f>'CPB Data'!G50/100</f>
        <v>0.48499999999999999</v>
      </c>
      <c r="M50" s="10">
        <f>'CPB Data'!C50</f>
        <v>5.0599999999999999E-2</v>
      </c>
      <c r="N50" s="10">
        <f>'CPB Data'!B50</f>
        <v>1.46E-2</v>
      </c>
      <c r="O50" s="10">
        <f>'Marktrente NL'!C61</f>
        <v>-7.000000000000001E-4</v>
      </c>
      <c r="P50" s="10">
        <f t="shared" si="0"/>
        <v>-1.5300000000000001E-2</v>
      </c>
      <c r="Q50" s="10">
        <f>Inflatie!E58/100</f>
        <v>1.8000000000000002E-2</v>
      </c>
      <c r="R50" s="10">
        <f t="shared" si="1"/>
        <v>1.4019841151730831E-2</v>
      </c>
      <c r="U50" s="10">
        <f>'AMECO Potential GDP'!C58</f>
        <v>1.827106626670294E-2</v>
      </c>
      <c r="V50" s="10">
        <f>'AMECO Output Gap'!B56/100</f>
        <v>1.3999999999999999E-2</v>
      </c>
      <c r="Y50" s="11">
        <f t="shared" si="2"/>
        <v>-2.9190000000000006E-3</v>
      </c>
      <c r="Z50" s="10">
        <f t="shared" si="11"/>
        <v>-7.6600000000000106E-4</v>
      </c>
      <c r="AA50" s="10">
        <f t="shared" si="12"/>
        <v>-8.8168547500604866E-3</v>
      </c>
      <c r="AB50" s="10">
        <f t="shared" si="3"/>
        <v>-1.5432979445377134E-2</v>
      </c>
      <c r="AC50" s="10">
        <f t="shared" si="19"/>
        <v>-9.9463087650766991E-3</v>
      </c>
      <c r="AD50" s="10">
        <f t="shared" si="13"/>
        <v>-6.5532235249492849E-3</v>
      </c>
      <c r="AE50" s="10">
        <f t="shared" si="4"/>
        <v>-1.5432979445377134E-2</v>
      </c>
      <c r="AF50" s="10">
        <f t="shared" si="5"/>
        <v>1.3999999999999999E-2</v>
      </c>
      <c r="AG50" s="10">
        <f t="shared" si="6"/>
        <v>1.3233999999999998E-2</v>
      </c>
      <c r="AH50" s="10">
        <f t="shared" si="7"/>
        <v>7.4467764750507136E-3</v>
      </c>
      <c r="AI50" s="10">
        <f t="shared" si="14"/>
        <v>4.0536912349232995E-3</v>
      </c>
      <c r="AJ50" s="10">
        <f t="shared" si="8"/>
        <v>-3.6620864557184094E-3</v>
      </c>
      <c r="AK50" s="10">
        <f t="shared" si="15"/>
        <v>-1.7027308765076698E-2</v>
      </c>
      <c r="AL50" s="10">
        <f t="shared" si="20"/>
        <v>-0.88083228900731991</v>
      </c>
      <c r="AM50" s="10">
        <f t="shared" si="17"/>
        <v>0.44587014263698321</v>
      </c>
      <c r="AN50" s="10">
        <f t="shared" si="10"/>
        <v>6.1551934114969571E-2</v>
      </c>
      <c r="AO50" s="10">
        <f t="shared" si="18"/>
        <v>0.34789907930362818</v>
      </c>
      <c r="AQ50" s="12">
        <v>0.6</v>
      </c>
    </row>
    <row r="51" spans="1:43" ht="14.4">
      <c r="A51" s="6">
        <f>'CPB Data'!A51:A102</f>
        <v>2020</v>
      </c>
      <c r="B51" s="7">
        <v>0</v>
      </c>
      <c r="C51" s="13">
        <v>-0.03</v>
      </c>
      <c r="D51" s="14">
        <f>'Correcties CBS'!C27</f>
        <v>1.4617694658598305E-2</v>
      </c>
      <c r="E51" s="14">
        <f t="shared" si="21"/>
        <v>-1.4617694658598305E-2</v>
      </c>
      <c r="H51" s="19"/>
      <c r="I51" s="19"/>
      <c r="J51" s="10">
        <f>'CPB Data'!D51</f>
        <v>-3.0300000000000001E-2</v>
      </c>
      <c r="K51" s="10">
        <f>overheidsuitgaven_nominaal!U27*-1</f>
        <v>-0.10402287665249776</v>
      </c>
      <c r="L51" s="10">
        <f>'CPB Data'!G51/100</f>
        <v>0.54700000000000004</v>
      </c>
      <c r="M51" s="10">
        <f>'CPB Data'!C51</f>
        <v>-2.07E-2</v>
      </c>
      <c r="N51" s="10">
        <f>'CPB Data'!B51</f>
        <v>1.4E-2</v>
      </c>
      <c r="O51" s="10">
        <f>'Marktrente NL'!C62</f>
        <v>-3.7699999999999999E-3</v>
      </c>
      <c r="P51" s="10">
        <f t="shared" si="0"/>
        <v>-1.7770000000000001E-2</v>
      </c>
      <c r="Q51" s="10">
        <f>Inflatie!E59/100</f>
        <v>1.7000000000000001E-2</v>
      </c>
      <c r="R51" s="10">
        <f t="shared" si="1"/>
        <v>-5.2575694658598307E-2</v>
      </c>
      <c r="U51" s="10">
        <f>'AMECO Potential GDP'!C59</f>
        <v>1.5532940546331142E-2</v>
      </c>
      <c r="V51" s="10">
        <f>'AMECO Output Gap'!B57/100</f>
        <v>-0.04</v>
      </c>
      <c r="Y51" s="11">
        <f t="shared" si="2"/>
        <v>-2.3419999999999995E-3</v>
      </c>
      <c r="Z51" s="10">
        <f t="shared" si="11"/>
        <v>-7.6600000000000106E-4</v>
      </c>
      <c r="AA51" s="10">
        <f t="shared" si="12"/>
        <v>-9.3242798356232334E-3</v>
      </c>
      <c r="AB51" s="10">
        <f t="shared" si="3"/>
        <v>-1.5432979445377134E-2</v>
      </c>
      <c r="AC51" s="10">
        <f t="shared" si="19"/>
        <v>-1.0142584774866159E-2</v>
      </c>
      <c r="AD51" s="10">
        <f t="shared" si="13"/>
        <v>-6.5532235249492849E-3</v>
      </c>
      <c r="AE51" s="10">
        <f t="shared" si="4"/>
        <v>-1.5432979445377134E-2</v>
      </c>
      <c r="AF51" s="10">
        <f t="shared" si="5"/>
        <v>-0.04</v>
      </c>
      <c r="AG51" s="10">
        <f t="shared" si="6"/>
        <v>-4.0766000000000004E-2</v>
      </c>
      <c r="AH51" s="10">
        <f t="shared" si="7"/>
        <v>-4.6553223524949283E-2</v>
      </c>
      <c r="AI51" s="10">
        <f t="shared" si="14"/>
        <v>-5.0142584774866161E-2</v>
      </c>
      <c r="AJ51" s="10">
        <f t="shared" si="8"/>
        <v>-6.8508777265998605E-2</v>
      </c>
      <c r="AK51" s="10">
        <f t="shared" si="15"/>
        <v>1.219941522513384E-2</v>
      </c>
      <c r="AL51" s="10">
        <f t="shared" si="20"/>
        <v>-0.8554888659193548</v>
      </c>
      <c r="AM51" s="10">
        <f t="shared" si="17"/>
        <v>0.52413279160364401</v>
      </c>
      <c r="AN51" s="10">
        <f t="shared" si="10"/>
        <v>-1.0948065885030431E-2</v>
      </c>
      <c r="AO51" s="10">
        <f t="shared" si="18"/>
        <v>0.41852259756999693</v>
      </c>
      <c r="AQ51" s="12">
        <v>0.6</v>
      </c>
    </row>
    <row r="52" spans="1:43" ht="14.4">
      <c r="A52" s="6">
        <f>'CPB Data'!A52:A103</f>
        <v>2021</v>
      </c>
      <c r="B52" s="7">
        <v>1</v>
      </c>
      <c r="C52" s="13">
        <v>0</v>
      </c>
      <c r="D52" s="14">
        <f>'Correcties CBS'!C28</f>
        <v>-7.6383069895939329E-3</v>
      </c>
      <c r="E52" s="14">
        <f t="shared" si="21"/>
        <v>7.6383069895939329E-3</v>
      </c>
      <c r="H52" s="17">
        <v>1.7000000000000001E-2</v>
      </c>
      <c r="I52" s="18">
        <v>0</v>
      </c>
      <c r="J52" s="10">
        <f>'CPB Data'!D52</f>
        <v>-2.0400000000000001E-2</v>
      </c>
      <c r="K52" s="10">
        <f>overheidsuitgaven_nominaal!U28*-1</f>
        <v>1.82517717906856E-2</v>
      </c>
      <c r="L52" s="10">
        <f>'CPB Data'!G52/100</f>
        <v>0.52400000000000002</v>
      </c>
      <c r="M52" s="10">
        <f>'CPB Data'!C52</f>
        <v>7.5200000000000003E-2</v>
      </c>
      <c r="N52" s="10">
        <f>'CPB Data'!B52</f>
        <v>1.04E-2</v>
      </c>
      <c r="O52" s="10">
        <f>'Marktrente NL'!C63</f>
        <v>-3.2799999999999999E-3</v>
      </c>
      <c r="P52" s="10">
        <f t="shared" si="0"/>
        <v>-1.3679999999999999E-2</v>
      </c>
      <c r="Q52" s="10">
        <f>Inflatie!E60/100</f>
        <v>1.7000000000000001E-2</v>
      </c>
      <c r="R52" s="10">
        <f t="shared" si="1"/>
        <v>-1.8211293010406068E-2</v>
      </c>
      <c r="U52" s="10">
        <f>'AMECO Potential GDP'!C60</f>
        <v>1.7009493670886E-2</v>
      </c>
      <c r="V52" s="10">
        <f>'AMECO Output Gap'!B58/100</f>
        <v>-0.01</v>
      </c>
      <c r="Y52" s="11">
        <f t="shared" si="2"/>
        <v>-4.5504000000000005E-3</v>
      </c>
      <c r="Z52" s="10">
        <f t="shared" si="11"/>
        <v>-4.5504000000000005E-3</v>
      </c>
      <c r="AA52" s="10">
        <f t="shared" si="12"/>
        <v>-9.4076629265049672E-3</v>
      </c>
      <c r="AB52" s="10">
        <f t="shared" si="3"/>
        <v>-1.8897016713236733E-2</v>
      </c>
      <c r="AC52" s="10">
        <f t="shared" si="19"/>
        <v>-9.8181066005305073E-3</v>
      </c>
      <c r="AD52" s="10">
        <f t="shared" si="13"/>
        <v>-9.4076629265049672E-3</v>
      </c>
      <c r="AE52" s="10">
        <f t="shared" si="4"/>
        <v>-1.8897016713236733E-2</v>
      </c>
      <c r="AF52" s="10">
        <f t="shared" si="5"/>
        <v>-0.01</v>
      </c>
      <c r="AG52" s="10">
        <f t="shared" si="6"/>
        <v>-1.4550400000000002E-2</v>
      </c>
      <c r="AH52" s="10">
        <f t="shared" si="7"/>
        <v>-1.9407662926504969E-2</v>
      </c>
      <c r="AI52" s="10">
        <f t="shared" si="14"/>
        <v>-1.9818106600530509E-2</v>
      </c>
      <c r="AJ52" s="10">
        <f t="shared" si="8"/>
        <v>-1.7005658519836653E-2</v>
      </c>
      <c r="AK52" s="10">
        <f t="shared" si="15"/>
        <v>-1.5267706600530506E-2</v>
      </c>
      <c r="AL52" s="10">
        <f t="shared" si="20"/>
        <v>-0.79750172722703683</v>
      </c>
      <c r="AM52" s="10">
        <f t="shared" si="17"/>
        <v>0.50349063297361707</v>
      </c>
      <c r="AN52" s="10">
        <f t="shared" si="10"/>
        <v>7.4604597755902988E-2</v>
      </c>
      <c r="AO52" s="10">
        <f t="shared" si="18"/>
        <v>0.40446931776516154</v>
      </c>
      <c r="AQ52" s="12">
        <v>0.6</v>
      </c>
    </row>
    <row r="53" spans="1:43" ht="14.4">
      <c r="A53" s="6">
        <f>'CPB Data'!A53:A104</f>
        <v>2022</v>
      </c>
      <c r="B53" s="7">
        <v>0</v>
      </c>
      <c r="E53" s="20">
        <f t="shared" si="21"/>
        <v>0</v>
      </c>
      <c r="H53" s="9"/>
      <c r="I53" s="9"/>
      <c r="J53" s="10">
        <f>'CPB Data'!D53</f>
        <v>-6.0000000000000001E-3</v>
      </c>
      <c r="K53" s="6">
        <f>overheidsuitgaven_nominaal!U29</f>
        <v>0</v>
      </c>
      <c r="L53" s="10">
        <f>'CPB Data'!G53/100</f>
        <v>0.496</v>
      </c>
      <c r="M53" s="10">
        <f>'CPB Data'!C53</f>
        <v>8.9899999999999994E-2</v>
      </c>
      <c r="N53" s="10">
        <f>'CPB Data'!B53</f>
        <v>9.1999999999999998E-3</v>
      </c>
      <c r="O53" s="10">
        <f>'Marktrente NL'!C64</f>
        <v>1.3779999999999999E-2</v>
      </c>
      <c r="P53" s="10">
        <f t="shared" si="0"/>
        <v>4.579999999999999E-3</v>
      </c>
      <c r="Q53" s="10">
        <f>Inflatie!E61/100</f>
        <v>0.02</v>
      </c>
      <c r="R53" s="10">
        <f t="shared" si="1"/>
        <v>-1.05632E-2</v>
      </c>
      <c r="U53" s="10">
        <f>'AMECO Potential GDP'!C61</f>
        <v>2.1651756774277331E-2</v>
      </c>
      <c r="V53" s="10">
        <f>'AMECO Output Gap'!B59/100</f>
        <v>1.2E-2</v>
      </c>
      <c r="Y53" s="11">
        <f t="shared" si="2"/>
        <v>-5.4368000000000003E-3</v>
      </c>
      <c r="Z53" s="10">
        <f t="shared" si="11"/>
        <v>-4.5504000000000005E-3</v>
      </c>
      <c r="AA53" s="10">
        <f t="shared" si="12"/>
        <v>-1.1496179663051052E-2</v>
      </c>
      <c r="AB53" s="10">
        <f t="shared" si="3"/>
        <v>-1.8897016713236733E-2</v>
      </c>
      <c r="AC53" s="10">
        <f t="shared" si="19"/>
        <v>-1.1964469145852828E-2</v>
      </c>
      <c r="AD53" s="10">
        <f t="shared" si="13"/>
        <v>-9.4076629265049672E-3</v>
      </c>
      <c r="AE53" s="10">
        <f t="shared" si="4"/>
        <v>-1.8897016713236733E-2</v>
      </c>
      <c r="AF53" s="10">
        <f t="shared" si="5"/>
        <v>1.2E-2</v>
      </c>
      <c r="AG53" s="10">
        <f t="shared" si="6"/>
        <v>7.4495999999999998E-3</v>
      </c>
      <c r="AH53" s="10">
        <f t="shared" si="7"/>
        <v>2.5923370734950331E-3</v>
      </c>
      <c r="AI53" s="10">
        <f t="shared" si="14"/>
        <v>3.5530854147172025E-5</v>
      </c>
      <c r="AJ53" s="10">
        <f t="shared" si="8"/>
        <v>-1.674916591479743E-3</v>
      </c>
      <c r="AK53" s="10">
        <f t="shared" si="15"/>
        <v>-1.6527669145852828E-2</v>
      </c>
      <c r="AL53" s="10">
        <f t="shared" si="20"/>
        <v>-0.7452870383682223</v>
      </c>
      <c r="AM53" s="10">
        <f t="shared" si="17"/>
        <v>0.46383192010595398</v>
      </c>
      <c r="AN53" s="10">
        <f t="shared" si="10"/>
        <v>8.474459775590297E-2</v>
      </c>
      <c r="AO53" s="10">
        <f t="shared" si="18"/>
        <v>0.37391114853597696</v>
      </c>
      <c r="AQ53" s="12">
        <v>0.6</v>
      </c>
    </row>
    <row r="54" spans="1:43" ht="13.2">
      <c r="H54" s="9"/>
      <c r="I54" s="9"/>
      <c r="L54" s="6">
        <f>'CPB Data'!G54</f>
        <v>0</v>
      </c>
      <c r="Q54" s="10"/>
      <c r="R54" s="10"/>
      <c r="Y54" s="11"/>
      <c r="Z54" s="11"/>
      <c r="AJ54" s="10"/>
      <c r="AK54" s="10"/>
      <c r="AL54" s="10"/>
      <c r="AM54" s="10"/>
    </row>
    <row r="55" spans="1:43" ht="13.2">
      <c r="H55" s="9"/>
      <c r="I55" s="9"/>
      <c r="L55" s="6">
        <f>'CPB Data'!G55</f>
        <v>0</v>
      </c>
      <c r="Q55" s="10"/>
      <c r="R55" s="10"/>
    </row>
    <row r="56" spans="1:43" ht="13.2">
      <c r="H56" s="9"/>
      <c r="I56" s="9"/>
      <c r="L56" s="6">
        <f>'CPB Data'!G56</f>
        <v>0</v>
      </c>
      <c r="R56" s="10"/>
    </row>
    <row r="57" spans="1:43" ht="13.2">
      <c r="H57" s="9"/>
      <c r="I57" s="9"/>
      <c r="L57" s="6">
        <f>'CPB Data'!G57</f>
        <v>0</v>
      </c>
    </row>
    <row r="58" spans="1:43" ht="13.2">
      <c r="H58" s="9"/>
      <c r="I58" s="9"/>
      <c r="J58" s="21"/>
      <c r="L58" s="6">
        <f>'CPB Data'!G58</f>
        <v>0</v>
      </c>
    </row>
    <row r="59" spans="1:43" ht="13.2">
      <c r="H59" s="9"/>
      <c r="I59" s="9"/>
      <c r="L59" s="6">
        <f>'CPB Data'!G59</f>
        <v>0</v>
      </c>
    </row>
    <row r="60" spans="1:43" ht="13.2">
      <c r="H60" s="9"/>
      <c r="I60" s="9"/>
      <c r="L60" s="6">
        <f>'CPB Data'!G60</f>
        <v>0</v>
      </c>
    </row>
    <row r="61" spans="1:43" ht="13.2">
      <c r="H61" s="9"/>
      <c r="I61" s="9"/>
      <c r="L61" s="6">
        <f>'CPB Data'!G61</f>
        <v>0</v>
      </c>
    </row>
    <row r="62" spans="1:43" ht="13.2">
      <c r="H62" s="9"/>
      <c r="I62" s="9"/>
      <c r="L62" s="6">
        <f>'CPB Data'!G62</f>
        <v>0</v>
      </c>
    </row>
    <row r="63" spans="1:43" ht="13.2">
      <c r="H63" s="9"/>
      <c r="I63" s="9"/>
      <c r="L63" s="6">
        <f>'CPB Data'!G63</f>
        <v>0</v>
      </c>
    </row>
    <row r="64" spans="1:43" ht="13.2">
      <c r="H64" s="9"/>
      <c r="I64" s="9"/>
      <c r="L64" s="6">
        <f>'CPB Data'!G64</f>
        <v>0</v>
      </c>
    </row>
    <row r="65" spans="8:12" ht="13.2">
      <c r="H65" s="9"/>
      <c r="I65" s="9"/>
      <c r="L65" s="6">
        <f>'CPB Data'!G65</f>
        <v>0</v>
      </c>
    </row>
    <row r="66" spans="8:12" ht="13.2">
      <c r="H66" s="9"/>
      <c r="I66" s="9"/>
      <c r="L66" s="6">
        <f>'CPB Data'!G66</f>
        <v>0</v>
      </c>
    </row>
    <row r="67" spans="8:12" ht="13.2">
      <c r="H67" s="9"/>
      <c r="I67" s="9"/>
      <c r="L67" s="6">
        <f>'CPB Data'!G67</f>
        <v>0</v>
      </c>
    </row>
    <row r="68" spans="8:12" ht="13.2">
      <c r="H68" s="9"/>
      <c r="I68" s="9"/>
      <c r="L68" s="6">
        <f>'CPB Data'!G68</f>
        <v>0</v>
      </c>
    </row>
    <row r="69" spans="8:12" ht="13.2">
      <c r="H69" s="9"/>
      <c r="I69" s="9"/>
      <c r="L69" s="6">
        <f>'CPB Data'!G69</f>
        <v>0</v>
      </c>
    </row>
    <row r="70" spans="8:12" ht="13.2">
      <c r="H70" s="9"/>
      <c r="I70" s="9"/>
      <c r="L70" s="6">
        <f>'CPB Data'!G70</f>
        <v>0</v>
      </c>
    </row>
    <row r="71" spans="8:12" ht="13.2">
      <c r="H71" s="9"/>
      <c r="I71" s="9"/>
      <c r="L71" s="6">
        <f>'CPB Data'!G71</f>
        <v>0</v>
      </c>
    </row>
    <row r="72" spans="8:12" ht="13.2">
      <c r="H72" s="9"/>
      <c r="I72" s="9"/>
      <c r="L72" s="6">
        <f>'CPB Data'!G72</f>
        <v>0</v>
      </c>
    </row>
    <row r="73" spans="8:12" ht="13.2">
      <c r="H73" s="9"/>
      <c r="I73" s="9"/>
      <c r="L73" s="6">
        <f>'CPB Data'!G73</f>
        <v>0</v>
      </c>
    </row>
    <row r="74" spans="8:12" ht="13.2">
      <c r="H74" s="9"/>
      <c r="I74" s="9"/>
      <c r="L74" s="6">
        <f>'CPB Data'!G74</f>
        <v>0</v>
      </c>
    </row>
    <row r="75" spans="8:12" ht="13.2">
      <c r="H75" s="9"/>
      <c r="I75" s="9"/>
      <c r="L75" s="6">
        <f>'CPB Data'!G75</f>
        <v>0</v>
      </c>
    </row>
    <row r="76" spans="8:12" ht="13.2">
      <c r="H76" s="9"/>
      <c r="I76" s="9"/>
    </row>
    <row r="77" spans="8:12" ht="13.2">
      <c r="H77" s="9"/>
      <c r="I77" s="9"/>
    </row>
    <row r="78" spans="8:12" ht="13.2">
      <c r="H78" s="9"/>
      <c r="I78" s="9"/>
    </row>
    <row r="79" spans="8:12" ht="13.2">
      <c r="H79" s="9"/>
      <c r="I79" s="9"/>
    </row>
    <row r="80" spans="8:12" ht="13.2">
      <c r="H80" s="9"/>
      <c r="I80" s="9"/>
    </row>
    <row r="81" spans="8:9" ht="13.2">
      <c r="H81" s="9"/>
      <c r="I81" s="9"/>
    </row>
    <row r="82" spans="8:9" ht="13.2">
      <c r="H82" s="9"/>
      <c r="I82" s="9"/>
    </row>
    <row r="83" spans="8:9" ht="13.2">
      <c r="H83" s="9"/>
      <c r="I83" s="9"/>
    </row>
    <row r="84" spans="8:9" ht="13.2">
      <c r="H84" s="9"/>
      <c r="I84" s="9"/>
    </row>
    <row r="85" spans="8:9" ht="13.2">
      <c r="H85" s="9"/>
      <c r="I85" s="9"/>
    </row>
    <row r="86" spans="8:9" ht="13.2">
      <c r="H86" s="9"/>
      <c r="I86" s="9"/>
    </row>
    <row r="87" spans="8:9" ht="13.2">
      <c r="H87" s="9"/>
      <c r="I87" s="9"/>
    </row>
    <row r="88" spans="8:9" ht="13.2">
      <c r="H88" s="9"/>
      <c r="I88" s="9"/>
    </row>
    <row r="89" spans="8:9" ht="13.2">
      <c r="H89" s="9"/>
      <c r="I89" s="9"/>
    </row>
    <row r="90" spans="8:9" ht="13.2">
      <c r="H90" s="9"/>
      <c r="I90" s="9"/>
    </row>
    <row r="91" spans="8:9" ht="13.2">
      <c r="H91" s="9"/>
      <c r="I91" s="9"/>
    </row>
    <row r="92" spans="8:9" ht="13.2">
      <c r="H92" s="9"/>
      <c r="I92" s="9"/>
    </row>
    <row r="93" spans="8:9" ht="13.2">
      <c r="H93" s="9"/>
      <c r="I93" s="9"/>
    </row>
    <row r="94" spans="8:9" ht="13.2">
      <c r="H94" s="9"/>
      <c r="I94" s="9"/>
    </row>
    <row r="95" spans="8:9" ht="13.2">
      <c r="H95" s="9"/>
      <c r="I95" s="9"/>
    </row>
    <row r="96" spans="8:9" ht="13.2">
      <c r="H96" s="9"/>
      <c r="I96" s="9"/>
    </row>
    <row r="97" spans="8:9" ht="13.2">
      <c r="H97" s="9"/>
      <c r="I97" s="9"/>
    </row>
    <row r="98" spans="8:9" ht="13.2">
      <c r="H98" s="9"/>
      <c r="I98" s="9"/>
    </row>
    <row r="99" spans="8:9" ht="13.2">
      <c r="H99" s="9"/>
      <c r="I99" s="9"/>
    </row>
    <row r="100" spans="8:9" ht="13.2">
      <c r="H100" s="9"/>
      <c r="I100" s="9"/>
    </row>
    <row r="101" spans="8:9" ht="13.2">
      <c r="H101" s="9"/>
      <c r="I101" s="9"/>
    </row>
    <row r="102" spans="8:9" ht="13.2">
      <c r="H102" s="9"/>
      <c r="I102" s="9"/>
    </row>
    <row r="103" spans="8:9" ht="13.2">
      <c r="H103" s="9"/>
      <c r="I103" s="9"/>
    </row>
    <row r="104" spans="8:9" ht="13.2">
      <c r="H104" s="9"/>
      <c r="I104" s="9"/>
    </row>
    <row r="105" spans="8:9" ht="13.2">
      <c r="H105" s="9"/>
      <c r="I105" s="9"/>
    </row>
    <row r="106" spans="8:9" ht="13.2">
      <c r="H106" s="9"/>
      <c r="I106" s="9"/>
    </row>
    <row r="107" spans="8:9" ht="13.2">
      <c r="H107" s="9"/>
      <c r="I107" s="9"/>
    </row>
    <row r="108" spans="8:9" ht="13.2">
      <c r="H108" s="9"/>
      <c r="I108" s="9"/>
    </row>
    <row r="109" spans="8:9" ht="13.2">
      <c r="H109" s="9"/>
      <c r="I109" s="9"/>
    </row>
    <row r="110" spans="8:9" ht="13.2">
      <c r="H110" s="9"/>
      <c r="I110" s="9"/>
    </row>
    <row r="111" spans="8:9" ht="13.2">
      <c r="H111" s="9"/>
      <c r="I111" s="9"/>
    </row>
    <row r="112" spans="8:9" ht="13.2">
      <c r="H112" s="9"/>
      <c r="I112" s="9"/>
    </row>
    <row r="113" spans="8:9" ht="13.2">
      <c r="H113" s="9"/>
      <c r="I113" s="9"/>
    </row>
    <row r="114" spans="8:9" ht="13.2">
      <c r="H114" s="9"/>
      <c r="I114" s="9"/>
    </row>
    <row r="115" spans="8:9" ht="13.2">
      <c r="H115" s="9"/>
      <c r="I115" s="9"/>
    </row>
    <row r="116" spans="8:9" ht="13.2">
      <c r="H116" s="9"/>
      <c r="I116" s="9"/>
    </row>
    <row r="117" spans="8:9" ht="13.2">
      <c r="H117" s="9"/>
      <c r="I117" s="9"/>
    </row>
    <row r="118" spans="8:9" ht="13.2">
      <c r="H118" s="9"/>
      <c r="I118" s="9"/>
    </row>
    <row r="119" spans="8:9" ht="13.2">
      <c r="H119" s="9"/>
      <c r="I119" s="9"/>
    </row>
    <row r="120" spans="8:9" ht="13.2">
      <c r="H120" s="9"/>
      <c r="I120" s="9"/>
    </row>
    <row r="121" spans="8:9" ht="13.2">
      <c r="H121" s="9"/>
      <c r="I121" s="9"/>
    </row>
    <row r="122" spans="8:9" ht="13.2">
      <c r="H122" s="9"/>
      <c r="I122" s="9"/>
    </row>
    <row r="123" spans="8:9" ht="13.2">
      <c r="H123" s="9"/>
      <c r="I123" s="9"/>
    </row>
    <row r="124" spans="8:9" ht="13.2">
      <c r="H124" s="9"/>
      <c r="I124" s="9"/>
    </row>
    <row r="125" spans="8:9" ht="13.2">
      <c r="H125" s="9"/>
      <c r="I125" s="9"/>
    </row>
    <row r="126" spans="8:9" ht="13.2">
      <c r="H126" s="9"/>
      <c r="I126" s="9"/>
    </row>
    <row r="127" spans="8:9" ht="13.2">
      <c r="H127" s="9"/>
      <c r="I127" s="9"/>
    </row>
    <row r="128" spans="8:9" ht="13.2">
      <c r="H128" s="9"/>
      <c r="I128" s="9"/>
    </row>
    <row r="129" spans="8:9" ht="13.2">
      <c r="H129" s="9"/>
      <c r="I129" s="9"/>
    </row>
    <row r="130" spans="8:9" ht="13.2">
      <c r="H130" s="9"/>
      <c r="I130" s="9"/>
    </row>
    <row r="131" spans="8:9" ht="13.2">
      <c r="H131" s="9"/>
      <c r="I131" s="9"/>
    </row>
    <row r="132" spans="8:9" ht="13.2">
      <c r="H132" s="9"/>
      <c r="I132" s="9"/>
    </row>
    <row r="133" spans="8:9" ht="13.2">
      <c r="H133" s="9"/>
      <c r="I133" s="9"/>
    </row>
    <row r="134" spans="8:9" ht="13.2">
      <c r="H134" s="9"/>
      <c r="I134" s="9"/>
    </row>
    <row r="135" spans="8:9" ht="13.2">
      <c r="H135" s="9"/>
      <c r="I135" s="9"/>
    </row>
    <row r="136" spans="8:9" ht="13.2">
      <c r="H136" s="9"/>
      <c r="I136" s="9"/>
    </row>
    <row r="137" spans="8:9" ht="13.2">
      <c r="H137" s="9"/>
      <c r="I137" s="9"/>
    </row>
    <row r="138" spans="8:9" ht="13.2">
      <c r="H138" s="9"/>
      <c r="I138" s="9"/>
    </row>
    <row r="139" spans="8:9" ht="13.2">
      <c r="H139" s="9"/>
      <c r="I139" s="9"/>
    </row>
    <row r="140" spans="8:9" ht="13.2">
      <c r="H140" s="9"/>
      <c r="I140" s="9"/>
    </row>
    <row r="141" spans="8:9" ht="13.2">
      <c r="H141" s="9"/>
      <c r="I141" s="9"/>
    </row>
    <row r="142" spans="8:9" ht="13.2">
      <c r="H142" s="9"/>
      <c r="I142" s="9"/>
    </row>
    <row r="143" spans="8:9" ht="13.2">
      <c r="H143" s="9"/>
      <c r="I143" s="9"/>
    </row>
    <row r="144" spans="8:9" ht="13.2">
      <c r="H144" s="9"/>
      <c r="I144" s="9"/>
    </row>
    <row r="145" spans="8:9" ht="13.2">
      <c r="H145" s="9"/>
      <c r="I145" s="9"/>
    </row>
    <row r="146" spans="8:9" ht="13.2">
      <c r="H146" s="9"/>
      <c r="I146" s="9"/>
    </row>
    <row r="147" spans="8:9" ht="13.2">
      <c r="H147" s="9"/>
      <c r="I147" s="9"/>
    </row>
    <row r="148" spans="8:9" ht="13.2">
      <c r="H148" s="9"/>
      <c r="I148" s="9"/>
    </row>
    <row r="149" spans="8:9" ht="13.2">
      <c r="H149" s="9"/>
      <c r="I149" s="9"/>
    </row>
    <row r="150" spans="8:9" ht="13.2">
      <c r="H150" s="9"/>
      <c r="I150" s="9"/>
    </row>
    <row r="151" spans="8:9" ht="13.2">
      <c r="H151" s="9"/>
      <c r="I151" s="9"/>
    </row>
    <row r="152" spans="8:9" ht="13.2">
      <c r="H152" s="9"/>
      <c r="I152" s="9"/>
    </row>
    <row r="153" spans="8:9" ht="13.2">
      <c r="H153" s="9"/>
      <c r="I153" s="9"/>
    </row>
    <row r="154" spans="8:9" ht="13.2">
      <c r="H154" s="9"/>
      <c r="I154" s="9"/>
    </row>
    <row r="155" spans="8:9" ht="13.2">
      <c r="H155" s="9"/>
      <c r="I155" s="9"/>
    </row>
    <row r="156" spans="8:9" ht="13.2">
      <c r="H156" s="9"/>
      <c r="I156" s="9"/>
    </row>
    <row r="157" spans="8:9" ht="13.2">
      <c r="H157" s="9"/>
      <c r="I157" s="9"/>
    </row>
    <row r="158" spans="8:9" ht="13.2">
      <c r="H158" s="9"/>
      <c r="I158" s="9"/>
    </row>
    <row r="159" spans="8:9" ht="13.2">
      <c r="H159" s="9"/>
      <c r="I159" s="9"/>
    </row>
    <row r="160" spans="8:9" ht="13.2">
      <c r="H160" s="9"/>
      <c r="I160" s="9"/>
    </row>
    <row r="161" spans="8:9" ht="13.2">
      <c r="H161" s="9"/>
      <c r="I161" s="9"/>
    </row>
    <row r="162" spans="8:9" ht="13.2">
      <c r="H162" s="9"/>
      <c r="I162" s="9"/>
    </row>
    <row r="163" spans="8:9" ht="13.2">
      <c r="H163" s="9"/>
      <c r="I163" s="9"/>
    </row>
    <row r="164" spans="8:9" ht="13.2">
      <c r="H164" s="9"/>
      <c r="I164" s="9"/>
    </row>
    <row r="165" spans="8:9" ht="13.2">
      <c r="H165" s="9"/>
      <c r="I165" s="9"/>
    </row>
    <row r="166" spans="8:9" ht="13.2">
      <c r="H166" s="9"/>
      <c r="I166" s="9"/>
    </row>
    <row r="167" spans="8:9" ht="13.2">
      <c r="H167" s="9"/>
      <c r="I167" s="9"/>
    </row>
    <row r="168" spans="8:9" ht="13.2">
      <c r="H168" s="9"/>
      <c r="I168" s="9"/>
    </row>
    <row r="169" spans="8:9" ht="13.2">
      <c r="H169" s="9"/>
      <c r="I169" s="9"/>
    </row>
    <row r="170" spans="8:9" ht="13.2">
      <c r="H170" s="9"/>
      <c r="I170" s="9"/>
    </row>
    <row r="171" spans="8:9" ht="13.2">
      <c r="H171" s="9"/>
      <c r="I171" s="9"/>
    </row>
    <row r="172" spans="8:9" ht="13.2">
      <c r="H172" s="9"/>
      <c r="I172" s="9"/>
    </row>
    <row r="173" spans="8:9" ht="13.2">
      <c r="H173" s="9"/>
      <c r="I173" s="9"/>
    </row>
    <row r="174" spans="8:9" ht="13.2">
      <c r="H174" s="9"/>
      <c r="I174" s="9"/>
    </row>
    <row r="175" spans="8:9" ht="13.2">
      <c r="H175" s="9"/>
      <c r="I175" s="9"/>
    </row>
    <row r="176" spans="8:9" ht="13.2">
      <c r="H176" s="9"/>
      <c r="I176" s="9"/>
    </row>
    <row r="177" spans="8:9" ht="13.2">
      <c r="H177" s="9"/>
      <c r="I177" s="9"/>
    </row>
    <row r="178" spans="8:9" ht="13.2">
      <c r="H178" s="9"/>
      <c r="I178" s="9"/>
    </row>
    <row r="179" spans="8:9" ht="13.2">
      <c r="H179" s="9"/>
      <c r="I179" s="9"/>
    </row>
    <row r="180" spans="8:9" ht="13.2">
      <c r="H180" s="9"/>
      <c r="I180" s="9"/>
    </row>
    <row r="181" spans="8:9" ht="13.2">
      <c r="H181" s="9"/>
      <c r="I181" s="9"/>
    </row>
    <row r="182" spans="8:9" ht="13.2">
      <c r="H182" s="9"/>
      <c r="I182" s="9"/>
    </row>
    <row r="183" spans="8:9" ht="13.2">
      <c r="H183" s="9"/>
      <c r="I183" s="9"/>
    </row>
    <row r="184" spans="8:9" ht="13.2">
      <c r="H184" s="9"/>
      <c r="I184" s="9"/>
    </row>
    <row r="185" spans="8:9" ht="13.2">
      <c r="H185" s="9"/>
      <c r="I185" s="9"/>
    </row>
    <row r="186" spans="8:9" ht="13.2">
      <c r="H186" s="9"/>
      <c r="I186" s="9"/>
    </row>
    <row r="187" spans="8:9" ht="13.2">
      <c r="H187" s="9"/>
      <c r="I187" s="9"/>
    </row>
    <row r="188" spans="8:9" ht="13.2">
      <c r="H188" s="9"/>
      <c r="I188" s="9"/>
    </row>
    <row r="189" spans="8:9" ht="13.2">
      <c r="H189" s="9"/>
      <c r="I189" s="9"/>
    </row>
    <row r="190" spans="8:9" ht="13.2">
      <c r="H190" s="9"/>
      <c r="I190" s="9"/>
    </row>
    <row r="191" spans="8:9" ht="13.2">
      <c r="H191" s="9"/>
      <c r="I191" s="9"/>
    </row>
    <row r="192" spans="8:9" ht="13.2">
      <c r="H192" s="9"/>
      <c r="I192" s="9"/>
    </row>
    <row r="193" spans="8:9" ht="13.2">
      <c r="H193" s="9"/>
      <c r="I193" s="9"/>
    </row>
    <row r="194" spans="8:9" ht="13.2">
      <c r="H194" s="9"/>
      <c r="I194" s="9"/>
    </row>
    <row r="195" spans="8:9" ht="13.2">
      <c r="H195" s="9"/>
      <c r="I195" s="9"/>
    </row>
    <row r="196" spans="8:9" ht="13.2">
      <c r="H196" s="9"/>
      <c r="I196" s="9"/>
    </row>
    <row r="197" spans="8:9" ht="13.2">
      <c r="H197" s="9"/>
      <c r="I197" s="9"/>
    </row>
    <row r="198" spans="8:9" ht="13.2">
      <c r="H198" s="9"/>
      <c r="I198" s="9"/>
    </row>
    <row r="199" spans="8:9" ht="13.2">
      <c r="H199" s="9"/>
      <c r="I199" s="9"/>
    </row>
    <row r="200" spans="8:9" ht="13.2">
      <c r="H200" s="9"/>
      <c r="I200" s="9"/>
    </row>
    <row r="201" spans="8:9" ht="13.2">
      <c r="H201" s="9"/>
      <c r="I201" s="9"/>
    </row>
    <row r="202" spans="8:9" ht="13.2">
      <c r="H202" s="9"/>
      <c r="I202" s="9"/>
    </row>
    <row r="203" spans="8:9" ht="13.2">
      <c r="H203" s="9"/>
      <c r="I203" s="9"/>
    </row>
    <row r="204" spans="8:9" ht="13.2">
      <c r="H204" s="9"/>
      <c r="I204" s="9"/>
    </row>
    <row r="205" spans="8:9" ht="13.2">
      <c r="H205" s="9"/>
      <c r="I205" s="9"/>
    </row>
    <row r="206" spans="8:9" ht="13.2">
      <c r="H206" s="9"/>
      <c r="I206" s="9"/>
    </row>
    <row r="207" spans="8:9" ht="13.2">
      <c r="H207" s="9"/>
      <c r="I207" s="9"/>
    </row>
    <row r="208" spans="8:9" ht="13.2">
      <c r="H208" s="9"/>
      <c r="I208" s="9"/>
    </row>
    <row r="209" spans="8:9" ht="13.2">
      <c r="H209" s="9"/>
      <c r="I209" s="9"/>
    </row>
    <row r="210" spans="8:9" ht="13.2">
      <c r="H210" s="9"/>
      <c r="I210" s="9"/>
    </row>
    <row r="211" spans="8:9" ht="13.2">
      <c r="H211" s="9"/>
      <c r="I211" s="9"/>
    </row>
    <row r="212" spans="8:9" ht="13.2">
      <c r="H212" s="9"/>
      <c r="I212" s="9"/>
    </row>
    <row r="213" spans="8:9" ht="13.2">
      <c r="H213" s="9"/>
      <c r="I213" s="9"/>
    </row>
    <row r="214" spans="8:9" ht="13.2">
      <c r="H214" s="9"/>
      <c r="I214" s="9"/>
    </row>
    <row r="215" spans="8:9" ht="13.2">
      <c r="H215" s="9"/>
      <c r="I215" s="9"/>
    </row>
    <row r="216" spans="8:9" ht="13.2">
      <c r="H216" s="9"/>
      <c r="I216" s="9"/>
    </row>
    <row r="217" spans="8:9" ht="13.2">
      <c r="H217" s="9"/>
      <c r="I217" s="9"/>
    </row>
    <row r="218" spans="8:9" ht="13.2">
      <c r="H218" s="9"/>
      <c r="I218" s="9"/>
    </row>
    <row r="219" spans="8:9" ht="13.2">
      <c r="H219" s="9"/>
      <c r="I219" s="9"/>
    </row>
    <row r="220" spans="8:9" ht="13.2">
      <c r="H220" s="9"/>
      <c r="I220" s="9"/>
    </row>
    <row r="221" spans="8:9" ht="13.2">
      <c r="H221" s="9"/>
      <c r="I221" s="9"/>
    </row>
    <row r="222" spans="8:9" ht="13.2">
      <c r="H222" s="9"/>
      <c r="I222" s="9"/>
    </row>
    <row r="223" spans="8:9" ht="13.2">
      <c r="H223" s="9"/>
      <c r="I223" s="9"/>
    </row>
    <row r="224" spans="8:9" ht="13.2">
      <c r="H224" s="9"/>
      <c r="I224" s="9"/>
    </row>
    <row r="225" spans="8:9" ht="13.2">
      <c r="H225" s="9"/>
      <c r="I225" s="9"/>
    </row>
    <row r="226" spans="8:9" ht="13.2">
      <c r="H226" s="9"/>
      <c r="I226" s="9"/>
    </row>
    <row r="227" spans="8:9" ht="13.2">
      <c r="H227" s="9"/>
      <c r="I227" s="9"/>
    </row>
    <row r="228" spans="8:9" ht="13.2">
      <c r="H228" s="9"/>
      <c r="I228" s="9"/>
    </row>
    <row r="229" spans="8:9" ht="13.2">
      <c r="H229" s="9"/>
      <c r="I229" s="9"/>
    </row>
    <row r="230" spans="8:9" ht="13.2">
      <c r="H230" s="9"/>
      <c r="I230" s="9"/>
    </row>
    <row r="231" spans="8:9" ht="13.2">
      <c r="H231" s="9"/>
      <c r="I231" s="9"/>
    </row>
    <row r="232" spans="8:9" ht="13.2">
      <c r="H232" s="9"/>
      <c r="I232" s="9"/>
    </row>
    <row r="233" spans="8:9" ht="13.2">
      <c r="H233" s="9"/>
      <c r="I233" s="9"/>
    </row>
    <row r="234" spans="8:9" ht="13.2">
      <c r="H234" s="9"/>
      <c r="I234" s="9"/>
    </row>
    <row r="235" spans="8:9" ht="13.2">
      <c r="H235" s="9"/>
      <c r="I235" s="9"/>
    </row>
    <row r="236" spans="8:9" ht="13.2">
      <c r="H236" s="9"/>
      <c r="I236" s="9"/>
    </row>
    <row r="237" spans="8:9" ht="13.2">
      <c r="H237" s="9"/>
      <c r="I237" s="9"/>
    </row>
    <row r="238" spans="8:9" ht="13.2">
      <c r="H238" s="9"/>
      <c r="I238" s="9"/>
    </row>
    <row r="239" spans="8:9" ht="13.2">
      <c r="H239" s="9"/>
      <c r="I239" s="9"/>
    </row>
    <row r="240" spans="8:9" ht="13.2">
      <c r="H240" s="9"/>
      <c r="I240" s="9"/>
    </row>
    <row r="241" spans="8:9" ht="13.2">
      <c r="H241" s="9"/>
      <c r="I241" s="9"/>
    </row>
    <row r="242" spans="8:9" ht="13.2">
      <c r="H242" s="9"/>
      <c r="I242" s="9"/>
    </row>
    <row r="243" spans="8:9" ht="13.2">
      <c r="H243" s="9"/>
      <c r="I243" s="9"/>
    </row>
    <row r="244" spans="8:9" ht="13.2">
      <c r="H244" s="9"/>
      <c r="I244" s="9"/>
    </row>
    <row r="245" spans="8:9" ht="13.2">
      <c r="H245" s="9"/>
      <c r="I245" s="9"/>
    </row>
    <row r="246" spans="8:9" ht="13.2">
      <c r="H246" s="9"/>
      <c r="I246" s="9"/>
    </row>
    <row r="247" spans="8:9" ht="13.2">
      <c r="H247" s="9"/>
      <c r="I247" s="9"/>
    </row>
    <row r="248" spans="8:9" ht="13.2">
      <c r="H248" s="9"/>
      <c r="I248" s="9"/>
    </row>
    <row r="249" spans="8:9" ht="13.2">
      <c r="H249" s="9"/>
      <c r="I249" s="9"/>
    </row>
    <row r="250" spans="8:9" ht="13.2">
      <c r="H250" s="9"/>
      <c r="I250" s="9"/>
    </row>
    <row r="251" spans="8:9" ht="13.2">
      <c r="H251" s="9"/>
      <c r="I251" s="9"/>
    </row>
    <row r="252" spans="8:9" ht="13.2">
      <c r="H252" s="9"/>
      <c r="I252" s="9"/>
    </row>
    <row r="253" spans="8:9" ht="13.2">
      <c r="H253" s="9"/>
      <c r="I253" s="9"/>
    </row>
    <row r="254" spans="8:9" ht="13.2">
      <c r="H254" s="9"/>
      <c r="I254" s="9"/>
    </row>
    <row r="255" spans="8:9" ht="13.2">
      <c r="H255" s="9"/>
      <c r="I255" s="9"/>
    </row>
    <row r="256" spans="8:9" ht="13.2">
      <c r="H256" s="9"/>
      <c r="I256" s="9"/>
    </row>
    <row r="257" spans="8:9" ht="13.2">
      <c r="H257" s="9"/>
      <c r="I257" s="9"/>
    </row>
    <row r="258" spans="8:9" ht="13.2">
      <c r="H258" s="9"/>
      <c r="I258" s="9"/>
    </row>
    <row r="259" spans="8:9" ht="13.2">
      <c r="H259" s="9"/>
      <c r="I259" s="9"/>
    </row>
    <row r="260" spans="8:9" ht="13.2">
      <c r="H260" s="9"/>
      <c r="I260" s="9"/>
    </row>
    <row r="261" spans="8:9" ht="13.2">
      <c r="H261" s="9"/>
      <c r="I261" s="9"/>
    </row>
    <row r="262" spans="8:9" ht="13.2">
      <c r="H262" s="9"/>
      <c r="I262" s="9"/>
    </row>
    <row r="263" spans="8:9" ht="13.2">
      <c r="H263" s="9"/>
      <c r="I263" s="9"/>
    </row>
    <row r="264" spans="8:9" ht="13.2">
      <c r="H264" s="9"/>
      <c r="I264" s="9"/>
    </row>
    <row r="265" spans="8:9" ht="13.2">
      <c r="H265" s="9"/>
      <c r="I265" s="9"/>
    </row>
    <row r="266" spans="8:9" ht="13.2">
      <c r="H266" s="9"/>
      <c r="I266" s="9"/>
    </row>
    <row r="267" spans="8:9" ht="13.2">
      <c r="H267" s="9"/>
      <c r="I267" s="9"/>
    </row>
    <row r="268" spans="8:9" ht="13.2">
      <c r="H268" s="9"/>
      <c r="I268" s="9"/>
    </row>
    <row r="269" spans="8:9" ht="13.2">
      <c r="H269" s="9"/>
      <c r="I269" s="9"/>
    </row>
    <row r="270" spans="8:9" ht="13.2">
      <c r="H270" s="9"/>
      <c r="I270" s="9"/>
    </row>
    <row r="271" spans="8:9" ht="13.2">
      <c r="H271" s="9"/>
      <c r="I271" s="9"/>
    </row>
    <row r="272" spans="8:9" ht="13.2">
      <c r="H272" s="9"/>
      <c r="I272" s="9"/>
    </row>
    <row r="273" spans="8:9" ht="13.2">
      <c r="H273" s="9"/>
      <c r="I273" s="9"/>
    </row>
    <row r="274" spans="8:9" ht="13.2">
      <c r="H274" s="9"/>
      <c r="I274" s="9"/>
    </row>
    <row r="275" spans="8:9" ht="13.2">
      <c r="H275" s="9"/>
      <c r="I275" s="9"/>
    </row>
    <row r="276" spans="8:9" ht="13.2">
      <c r="H276" s="9"/>
      <c r="I276" s="9"/>
    </row>
    <row r="277" spans="8:9" ht="13.2">
      <c r="H277" s="9"/>
      <c r="I277" s="9"/>
    </row>
    <row r="278" spans="8:9" ht="13.2">
      <c r="H278" s="9"/>
      <c r="I278" s="9"/>
    </row>
    <row r="279" spans="8:9" ht="13.2">
      <c r="H279" s="9"/>
      <c r="I279" s="9"/>
    </row>
    <row r="280" spans="8:9" ht="13.2">
      <c r="H280" s="9"/>
      <c r="I280" s="9"/>
    </row>
    <row r="281" spans="8:9" ht="13.2">
      <c r="H281" s="9"/>
      <c r="I281" s="9"/>
    </row>
    <row r="282" spans="8:9" ht="13.2">
      <c r="H282" s="9"/>
      <c r="I282" s="9"/>
    </row>
    <row r="283" spans="8:9" ht="13.2">
      <c r="H283" s="9"/>
      <c r="I283" s="9"/>
    </row>
    <row r="284" spans="8:9" ht="13.2">
      <c r="H284" s="9"/>
      <c r="I284" s="9"/>
    </row>
    <row r="285" spans="8:9" ht="13.2">
      <c r="H285" s="9"/>
      <c r="I285" s="9"/>
    </row>
    <row r="286" spans="8:9" ht="13.2">
      <c r="H286" s="9"/>
      <c r="I286" s="9"/>
    </row>
    <row r="287" spans="8:9" ht="13.2">
      <c r="H287" s="9"/>
      <c r="I287" s="9"/>
    </row>
    <row r="288" spans="8:9" ht="13.2">
      <c r="H288" s="9"/>
      <c r="I288" s="9"/>
    </row>
    <row r="289" spans="8:9" ht="13.2">
      <c r="H289" s="9"/>
      <c r="I289" s="9"/>
    </row>
    <row r="290" spans="8:9" ht="13.2">
      <c r="H290" s="9"/>
      <c r="I290" s="9"/>
    </row>
    <row r="291" spans="8:9" ht="13.2">
      <c r="H291" s="9"/>
      <c r="I291" s="9"/>
    </row>
    <row r="292" spans="8:9" ht="13.2">
      <c r="H292" s="9"/>
      <c r="I292" s="9"/>
    </row>
    <row r="293" spans="8:9" ht="13.2">
      <c r="H293" s="9"/>
      <c r="I293" s="9"/>
    </row>
    <row r="294" spans="8:9" ht="13.2">
      <c r="H294" s="9"/>
      <c r="I294" s="9"/>
    </row>
    <row r="295" spans="8:9" ht="13.2">
      <c r="H295" s="9"/>
      <c r="I295" s="9"/>
    </row>
    <row r="296" spans="8:9" ht="13.2">
      <c r="H296" s="9"/>
      <c r="I296" s="9"/>
    </row>
    <row r="297" spans="8:9" ht="13.2">
      <c r="H297" s="9"/>
      <c r="I297" s="9"/>
    </row>
    <row r="298" spans="8:9" ht="13.2">
      <c r="H298" s="9"/>
      <c r="I298" s="9"/>
    </row>
    <row r="299" spans="8:9" ht="13.2">
      <c r="H299" s="9"/>
      <c r="I299" s="9"/>
    </row>
    <row r="300" spans="8:9" ht="13.2">
      <c r="H300" s="9"/>
      <c r="I300" s="9"/>
    </row>
    <row r="301" spans="8:9" ht="13.2">
      <c r="H301" s="9"/>
      <c r="I301" s="9"/>
    </row>
    <row r="302" spans="8:9" ht="13.2">
      <c r="H302" s="9"/>
      <c r="I302" s="9"/>
    </row>
    <row r="303" spans="8:9" ht="13.2">
      <c r="H303" s="9"/>
      <c r="I303" s="9"/>
    </row>
    <row r="304" spans="8:9" ht="13.2">
      <c r="H304" s="9"/>
      <c r="I304" s="9"/>
    </row>
    <row r="305" spans="8:9" ht="13.2">
      <c r="H305" s="9"/>
      <c r="I305" s="9"/>
    </row>
    <row r="306" spans="8:9" ht="13.2">
      <c r="H306" s="9"/>
      <c r="I306" s="9"/>
    </row>
    <row r="307" spans="8:9" ht="13.2">
      <c r="H307" s="9"/>
      <c r="I307" s="9"/>
    </row>
    <row r="308" spans="8:9" ht="13.2">
      <c r="H308" s="9"/>
      <c r="I308" s="9"/>
    </row>
    <row r="309" spans="8:9" ht="13.2">
      <c r="H309" s="9"/>
      <c r="I309" s="9"/>
    </row>
    <row r="310" spans="8:9" ht="13.2">
      <c r="H310" s="9"/>
      <c r="I310" s="9"/>
    </row>
    <row r="311" spans="8:9" ht="13.2">
      <c r="H311" s="9"/>
      <c r="I311" s="9"/>
    </row>
    <row r="312" spans="8:9" ht="13.2">
      <c r="H312" s="9"/>
      <c r="I312" s="9"/>
    </row>
    <row r="313" spans="8:9" ht="13.2">
      <c r="H313" s="9"/>
      <c r="I313" s="9"/>
    </row>
    <row r="314" spans="8:9" ht="13.2">
      <c r="H314" s="9"/>
      <c r="I314" s="9"/>
    </row>
    <row r="315" spans="8:9" ht="13.2">
      <c r="H315" s="9"/>
      <c r="I315" s="9"/>
    </row>
    <row r="316" spans="8:9" ht="13.2">
      <c r="H316" s="9"/>
      <c r="I316" s="9"/>
    </row>
    <row r="317" spans="8:9" ht="13.2">
      <c r="H317" s="9"/>
      <c r="I317" s="9"/>
    </row>
    <row r="318" spans="8:9" ht="13.2">
      <c r="H318" s="9"/>
      <c r="I318" s="9"/>
    </row>
    <row r="319" spans="8:9" ht="13.2">
      <c r="H319" s="9"/>
      <c r="I319" s="9"/>
    </row>
    <row r="320" spans="8:9" ht="13.2">
      <c r="H320" s="9"/>
      <c r="I320" s="9"/>
    </row>
    <row r="321" spans="8:9" ht="13.2">
      <c r="H321" s="9"/>
      <c r="I321" s="9"/>
    </row>
    <row r="322" spans="8:9" ht="13.2">
      <c r="H322" s="9"/>
      <c r="I322" s="9"/>
    </row>
    <row r="323" spans="8:9" ht="13.2">
      <c r="H323" s="9"/>
      <c r="I323" s="9"/>
    </row>
    <row r="324" spans="8:9" ht="13.2">
      <c r="H324" s="9"/>
      <c r="I324" s="9"/>
    </row>
    <row r="325" spans="8:9" ht="13.2">
      <c r="H325" s="9"/>
      <c r="I325" s="9"/>
    </row>
    <row r="326" spans="8:9" ht="13.2">
      <c r="H326" s="9"/>
      <c r="I326" s="9"/>
    </row>
    <row r="327" spans="8:9" ht="13.2">
      <c r="H327" s="9"/>
      <c r="I327" s="9"/>
    </row>
    <row r="328" spans="8:9" ht="13.2">
      <c r="H328" s="9"/>
      <c r="I328" s="9"/>
    </row>
    <row r="329" spans="8:9" ht="13.2">
      <c r="H329" s="9"/>
      <c r="I329" s="9"/>
    </row>
    <row r="330" spans="8:9" ht="13.2">
      <c r="H330" s="9"/>
      <c r="I330" s="9"/>
    </row>
    <row r="331" spans="8:9" ht="13.2">
      <c r="H331" s="9"/>
      <c r="I331" s="9"/>
    </row>
    <row r="332" spans="8:9" ht="13.2">
      <c r="H332" s="9"/>
      <c r="I332" s="9"/>
    </row>
    <row r="333" spans="8:9" ht="13.2">
      <c r="H333" s="9"/>
      <c r="I333" s="9"/>
    </row>
    <row r="334" spans="8:9" ht="13.2">
      <c r="H334" s="9"/>
      <c r="I334" s="9"/>
    </row>
    <row r="335" spans="8:9" ht="13.2">
      <c r="H335" s="9"/>
      <c r="I335" s="9"/>
    </row>
    <row r="336" spans="8:9" ht="13.2">
      <c r="H336" s="9"/>
      <c r="I336" s="9"/>
    </row>
    <row r="337" spans="8:9" ht="13.2">
      <c r="H337" s="9"/>
      <c r="I337" s="9"/>
    </row>
    <row r="338" spans="8:9" ht="13.2">
      <c r="H338" s="9"/>
      <c r="I338" s="9"/>
    </row>
    <row r="339" spans="8:9" ht="13.2">
      <c r="H339" s="9"/>
      <c r="I339" s="9"/>
    </row>
    <row r="340" spans="8:9" ht="13.2">
      <c r="H340" s="9"/>
      <c r="I340" s="9"/>
    </row>
    <row r="341" spans="8:9" ht="13.2">
      <c r="H341" s="9"/>
      <c r="I341" s="9"/>
    </row>
    <row r="342" spans="8:9" ht="13.2">
      <c r="H342" s="9"/>
      <c r="I342" s="9"/>
    </row>
    <row r="343" spans="8:9" ht="13.2">
      <c r="H343" s="9"/>
      <c r="I343" s="9"/>
    </row>
    <row r="344" spans="8:9" ht="13.2">
      <c r="H344" s="9"/>
      <c r="I344" s="9"/>
    </row>
    <row r="345" spans="8:9" ht="13.2">
      <c r="H345" s="9"/>
      <c r="I345" s="9"/>
    </row>
    <row r="346" spans="8:9" ht="13.2">
      <c r="H346" s="9"/>
      <c r="I346" s="9"/>
    </row>
    <row r="347" spans="8:9" ht="13.2">
      <c r="H347" s="9"/>
      <c r="I347" s="9"/>
    </row>
    <row r="348" spans="8:9" ht="13.2">
      <c r="H348" s="9"/>
      <c r="I348" s="9"/>
    </row>
    <row r="349" spans="8:9" ht="13.2">
      <c r="H349" s="9"/>
      <c r="I349" s="9"/>
    </row>
    <row r="350" spans="8:9" ht="13.2">
      <c r="H350" s="9"/>
      <c r="I350" s="9"/>
    </row>
    <row r="351" spans="8:9" ht="13.2">
      <c r="H351" s="9"/>
      <c r="I351" s="9"/>
    </row>
    <row r="352" spans="8:9" ht="13.2">
      <c r="H352" s="9"/>
      <c r="I352" s="9"/>
    </row>
    <row r="353" spans="8:9" ht="13.2">
      <c r="H353" s="9"/>
      <c r="I353" s="9"/>
    </row>
    <row r="354" spans="8:9" ht="13.2">
      <c r="H354" s="9"/>
      <c r="I354" s="9"/>
    </row>
    <row r="355" spans="8:9" ht="13.2">
      <c r="H355" s="9"/>
      <c r="I355" s="9"/>
    </row>
    <row r="356" spans="8:9" ht="13.2">
      <c r="H356" s="9"/>
      <c r="I356" s="9"/>
    </row>
    <row r="357" spans="8:9" ht="13.2">
      <c r="H357" s="9"/>
      <c r="I357" s="9"/>
    </row>
    <row r="358" spans="8:9" ht="13.2">
      <c r="H358" s="9"/>
      <c r="I358" s="9"/>
    </row>
    <row r="359" spans="8:9" ht="13.2">
      <c r="H359" s="9"/>
      <c r="I359" s="9"/>
    </row>
    <row r="360" spans="8:9" ht="13.2">
      <c r="H360" s="9"/>
      <c r="I360" s="9"/>
    </row>
    <row r="361" spans="8:9" ht="13.2">
      <c r="H361" s="9"/>
      <c r="I361" s="9"/>
    </row>
    <row r="362" spans="8:9" ht="13.2">
      <c r="H362" s="9"/>
      <c r="I362" s="9"/>
    </row>
    <row r="363" spans="8:9" ht="13.2">
      <c r="H363" s="9"/>
      <c r="I363" s="9"/>
    </row>
    <row r="364" spans="8:9" ht="13.2">
      <c r="H364" s="9"/>
      <c r="I364" s="9"/>
    </row>
    <row r="365" spans="8:9" ht="13.2">
      <c r="H365" s="9"/>
      <c r="I365" s="9"/>
    </row>
    <row r="366" spans="8:9" ht="13.2">
      <c r="H366" s="9"/>
      <c r="I366" s="9"/>
    </row>
    <row r="367" spans="8:9" ht="13.2">
      <c r="H367" s="9"/>
      <c r="I367" s="9"/>
    </row>
    <row r="368" spans="8:9" ht="13.2">
      <c r="H368" s="9"/>
      <c r="I368" s="9"/>
    </row>
    <row r="369" spans="8:9" ht="13.2">
      <c r="H369" s="9"/>
      <c r="I369" s="9"/>
    </row>
    <row r="370" spans="8:9" ht="13.2">
      <c r="H370" s="9"/>
      <c r="I370" s="9"/>
    </row>
    <row r="371" spans="8:9" ht="13.2">
      <c r="H371" s="9"/>
      <c r="I371" s="9"/>
    </row>
    <row r="372" spans="8:9" ht="13.2">
      <c r="H372" s="9"/>
      <c r="I372" s="9"/>
    </row>
    <row r="373" spans="8:9" ht="13.2">
      <c r="H373" s="9"/>
      <c r="I373" s="9"/>
    </row>
    <row r="374" spans="8:9" ht="13.2">
      <c r="H374" s="9"/>
      <c r="I374" s="9"/>
    </row>
    <row r="375" spans="8:9" ht="13.2">
      <c r="H375" s="9"/>
      <c r="I375" s="9"/>
    </row>
    <row r="376" spans="8:9" ht="13.2">
      <c r="H376" s="9"/>
      <c r="I376" s="9"/>
    </row>
    <row r="377" spans="8:9" ht="13.2">
      <c r="H377" s="9"/>
      <c r="I377" s="9"/>
    </row>
    <row r="378" spans="8:9" ht="13.2">
      <c r="H378" s="9"/>
      <c r="I378" s="9"/>
    </row>
    <row r="379" spans="8:9" ht="13.2">
      <c r="H379" s="9"/>
      <c r="I379" s="9"/>
    </row>
    <row r="380" spans="8:9" ht="13.2">
      <c r="H380" s="9"/>
      <c r="I380" s="9"/>
    </row>
    <row r="381" spans="8:9" ht="13.2">
      <c r="H381" s="9"/>
      <c r="I381" s="9"/>
    </row>
    <row r="382" spans="8:9" ht="13.2">
      <c r="H382" s="9"/>
      <c r="I382" s="9"/>
    </row>
    <row r="383" spans="8:9" ht="13.2">
      <c r="H383" s="9"/>
      <c r="I383" s="9"/>
    </row>
    <row r="384" spans="8:9" ht="13.2">
      <c r="H384" s="9"/>
      <c r="I384" s="9"/>
    </row>
    <row r="385" spans="8:9" ht="13.2">
      <c r="H385" s="9"/>
      <c r="I385" s="9"/>
    </row>
    <row r="386" spans="8:9" ht="13.2">
      <c r="H386" s="9"/>
      <c r="I386" s="9"/>
    </row>
    <row r="387" spans="8:9" ht="13.2">
      <c r="H387" s="9"/>
      <c r="I387" s="9"/>
    </row>
    <row r="388" spans="8:9" ht="13.2">
      <c r="H388" s="9"/>
      <c r="I388" s="9"/>
    </row>
    <row r="389" spans="8:9" ht="13.2">
      <c r="H389" s="9"/>
      <c r="I389" s="9"/>
    </row>
    <row r="390" spans="8:9" ht="13.2">
      <c r="H390" s="9"/>
      <c r="I390" s="9"/>
    </row>
    <row r="391" spans="8:9" ht="13.2">
      <c r="H391" s="9"/>
      <c r="I391" s="9"/>
    </row>
    <row r="392" spans="8:9" ht="13.2">
      <c r="H392" s="9"/>
      <c r="I392" s="9"/>
    </row>
    <row r="393" spans="8:9" ht="13.2">
      <c r="H393" s="9"/>
      <c r="I393" s="9"/>
    </row>
    <row r="394" spans="8:9" ht="13.2">
      <c r="H394" s="9"/>
      <c r="I394" s="9"/>
    </row>
    <row r="395" spans="8:9" ht="13.2">
      <c r="H395" s="9"/>
      <c r="I395" s="9"/>
    </row>
    <row r="396" spans="8:9" ht="13.2">
      <c r="H396" s="9"/>
      <c r="I396" s="9"/>
    </row>
    <row r="397" spans="8:9" ht="13.2">
      <c r="H397" s="9"/>
      <c r="I397" s="9"/>
    </row>
    <row r="398" spans="8:9" ht="13.2">
      <c r="H398" s="9"/>
      <c r="I398" s="9"/>
    </row>
    <row r="399" spans="8:9" ht="13.2">
      <c r="H399" s="9"/>
      <c r="I399" s="9"/>
    </row>
    <row r="400" spans="8:9" ht="13.2">
      <c r="H400" s="9"/>
      <c r="I400" s="9"/>
    </row>
    <row r="401" spans="8:9" ht="13.2">
      <c r="H401" s="9"/>
      <c r="I401" s="9"/>
    </row>
    <row r="402" spans="8:9" ht="13.2">
      <c r="H402" s="9"/>
      <c r="I402" s="9"/>
    </row>
    <row r="403" spans="8:9" ht="13.2">
      <c r="H403" s="9"/>
      <c r="I403" s="9"/>
    </row>
    <row r="404" spans="8:9" ht="13.2">
      <c r="H404" s="9"/>
      <c r="I404" s="9"/>
    </row>
    <row r="405" spans="8:9" ht="13.2">
      <c r="H405" s="9"/>
      <c r="I405" s="9"/>
    </row>
    <row r="406" spans="8:9" ht="13.2">
      <c r="H406" s="9"/>
      <c r="I406" s="9"/>
    </row>
    <row r="407" spans="8:9" ht="13.2">
      <c r="H407" s="9"/>
      <c r="I407" s="9"/>
    </row>
    <row r="408" spans="8:9" ht="13.2">
      <c r="H408" s="9"/>
      <c r="I408" s="9"/>
    </row>
    <row r="409" spans="8:9" ht="13.2">
      <c r="H409" s="9"/>
      <c r="I409" s="9"/>
    </row>
    <row r="410" spans="8:9" ht="13.2">
      <c r="H410" s="9"/>
      <c r="I410" s="9"/>
    </row>
    <row r="411" spans="8:9" ht="13.2">
      <c r="H411" s="9"/>
      <c r="I411" s="9"/>
    </row>
    <row r="412" spans="8:9" ht="13.2">
      <c r="H412" s="9"/>
      <c r="I412" s="9"/>
    </row>
    <row r="413" spans="8:9" ht="13.2">
      <c r="H413" s="9"/>
      <c r="I413" s="9"/>
    </row>
    <row r="414" spans="8:9" ht="13.2">
      <c r="H414" s="9"/>
      <c r="I414" s="9"/>
    </row>
    <row r="415" spans="8:9" ht="13.2">
      <c r="H415" s="9"/>
      <c r="I415" s="9"/>
    </row>
    <row r="416" spans="8:9" ht="13.2">
      <c r="H416" s="9"/>
      <c r="I416" s="9"/>
    </row>
    <row r="417" spans="8:9" ht="13.2">
      <c r="H417" s="9"/>
      <c r="I417" s="9"/>
    </row>
    <row r="418" spans="8:9" ht="13.2">
      <c r="H418" s="9"/>
      <c r="I418" s="9"/>
    </row>
    <row r="419" spans="8:9" ht="13.2">
      <c r="H419" s="9"/>
      <c r="I419" s="9"/>
    </row>
    <row r="420" spans="8:9" ht="13.2">
      <c r="H420" s="9"/>
      <c r="I420" s="9"/>
    </row>
    <row r="421" spans="8:9" ht="13.2">
      <c r="H421" s="9"/>
      <c r="I421" s="9"/>
    </row>
    <row r="422" spans="8:9" ht="13.2">
      <c r="H422" s="9"/>
      <c r="I422" s="9"/>
    </row>
    <row r="423" spans="8:9" ht="13.2">
      <c r="H423" s="9"/>
      <c r="I423" s="9"/>
    </row>
    <row r="424" spans="8:9" ht="13.2">
      <c r="H424" s="9"/>
      <c r="I424" s="9"/>
    </row>
    <row r="425" spans="8:9" ht="13.2">
      <c r="H425" s="9"/>
      <c r="I425" s="9"/>
    </row>
    <row r="426" spans="8:9" ht="13.2">
      <c r="H426" s="9"/>
      <c r="I426" s="9"/>
    </row>
    <row r="427" spans="8:9" ht="13.2">
      <c r="H427" s="9"/>
      <c r="I427" s="9"/>
    </row>
    <row r="428" spans="8:9" ht="13.2">
      <c r="H428" s="9"/>
      <c r="I428" s="9"/>
    </row>
    <row r="429" spans="8:9" ht="13.2">
      <c r="H429" s="9"/>
      <c r="I429" s="9"/>
    </row>
    <row r="430" spans="8:9" ht="13.2">
      <c r="H430" s="9"/>
      <c r="I430" s="9"/>
    </row>
    <row r="431" spans="8:9" ht="13.2">
      <c r="H431" s="9"/>
      <c r="I431" s="9"/>
    </row>
    <row r="432" spans="8:9" ht="13.2">
      <c r="H432" s="9"/>
      <c r="I432" s="9"/>
    </row>
    <row r="433" spans="8:9" ht="13.2">
      <c r="H433" s="9"/>
      <c r="I433" s="9"/>
    </row>
    <row r="434" spans="8:9" ht="13.2">
      <c r="H434" s="9"/>
      <c r="I434" s="9"/>
    </row>
    <row r="435" spans="8:9" ht="13.2">
      <c r="H435" s="9"/>
      <c r="I435" s="9"/>
    </row>
    <row r="436" spans="8:9" ht="13.2">
      <c r="H436" s="9"/>
      <c r="I436" s="9"/>
    </row>
    <row r="437" spans="8:9" ht="13.2">
      <c r="H437" s="9"/>
      <c r="I437" s="9"/>
    </row>
    <row r="438" spans="8:9" ht="13.2">
      <c r="H438" s="9"/>
      <c r="I438" s="9"/>
    </row>
    <row r="439" spans="8:9" ht="13.2">
      <c r="H439" s="9"/>
      <c r="I439" s="9"/>
    </row>
    <row r="440" spans="8:9" ht="13.2">
      <c r="H440" s="9"/>
      <c r="I440" s="9"/>
    </row>
    <row r="441" spans="8:9" ht="13.2">
      <c r="H441" s="9"/>
      <c r="I441" s="9"/>
    </row>
    <row r="442" spans="8:9" ht="13.2">
      <c r="H442" s="9"/>
      <c r="I442" s="9"/>
    </row>
    <row r="443" spans="8:9" ht="13.2">
      <c r="H443" s="9"/>
      <c r="I443" s="9"/>
    </row>
    <row r="444" spans="8:9" ht="13.2">
      <c r="H444" s="9"/>
      <c r="I444" s="9"/>
    </row>
    <row r="445" spans="8:9" ht="13.2">
      <c r="H445" s="9"/>
      <c r="I445" s="9"/>
    </row>
    <row r="446" spans="8:9" ht="13.2">
      <c r="H446" s="9"/>
      <c r="I446" s="9"/>
    </row>
    <row r="447" spans="8:9" ht="13.2">
      <c r="H447" s="9"/>
      <c r="I447" s="9"/>
    </row>
    <row r="448" spans="8:9" ht="13.2">
      <c r="H448" s="9"/>
      <c r="I448" s="9"/>
    </row>
    <row r="449" spans="8:9" ht="13.2">
      <c r="H449" s="9"/>
      <c r="I449" s="9"/>
    </row>
    <row r="450" spans="8:9" ht="13.2">
      <c r="H450" s="9"/>
      <c r="I450" s="9"/>
    </row>
    <row r="451" spans="8:9" ht="13.2">
      <c r="H451" s="9"/>
      <c r="I451" s="9"/>
    </row>
    <row r="452" spans="8:9" ht="13.2">
      <c r="H452" s="9"/>
      <c r="I452" s="9"/>
    </row>
    <row r="453" spans="8:9" ht="13.2">
      <c r="H453" s="9"/>
      <c r="I453" s="9"/>
    </row>
    <row r="454" spans="8:9" ht="13.2">
      <c r="H454" s="9"/>
      <c r="I454" s="9"/>
    </row>
    <row r="455" spans="8:9" ht="13.2">
      <c r="H455" s="9"/>
      <c r="I455" s="9"/>
    </row>
    <row r="456" spans="8:9" ht="13.2">
      <c r="H456" s="9"/>
      <c r="I456" s="9"/>
    </row>
    <row r="457" spans="8:9" ht="13.2">
      <c r="H457" s="9"/>
      <c r="I457" s="9"/>
    </row>
    <row r="458" spans="8:9" ht="13.2">
      <c r="H458" s="9"/>
      <c r="I458" s="9"/>
    </row>
    <row r="459" spans="8:9" ht="13.2">
      <c r="H459" s="9"/>
      <c r="I459" s="9"/>
    </row>
    <row r="460" spans="8:9" ht="13.2">
      <c r="H460" s="9"/>
      <c r="I460" s="9"/>
    </row>
    <row r="461" spans="8:9" ht="13.2">
      <c r="H461" s="9"/>
      <c r="I461" s="9"/>
    </row>
    <row r="462" spans="8:9" ht="13.2">
      <c r="H462" s="9"/>
      <c r="I462" s="9"/>
    </row>
    <row r="463" spans="8:9" ht="13.2">
      <c r="H463" s="9"/>
      <c r="I463" s="9"/>
    </row>
    <row r="464" spans="8:9" ht="13.2">
      <c r="H464" s="9"/>
      <c r="I464" s="9"/>
    </row>
    <row r="465" spans="8:9" ht="13.2">
      <c r="H465" s="9"/>
      <c r="I465" s="9"/>
    </row>
    <row r="466" spans="8:9" ht="13.2">
      <c r="H466" s="9"/>
      <c r="I466" s="9"/>
    </row>
    <row r="467" spans="8:9" ht="13.2">
      <c r="H467" s="9"/>
      <c r="I467" s="9"/>
    </row>
    <row r="468" spans="8:9" ht="13.2">
      <c r="H468" s="9"/>
      <c r="I468" s="9"/>
    </row>
    <row r="469" spans="8:9" ht="13.2">
      <c r="H469" s="9"/>
      <c r="I469" s="9"/>
    </row>
    <row r="470" spans="8:9" ht="13.2">
      <c r="H470" s="9"/>
      <c r="I470" s="9"/>
    </row>
    <row r="471" spans="8:9" ht="13.2">
      <c r="H471" s="9"/>
      <c r="I471" s="9"/>
    </row>
    <row r="472" spans="8:9" ht="13.2">
      <c r="H472" s="9"/>
      <c r="I472" s="9"/>
    </row>
    <row r="473" spans="8:9" ht="13.2">
      <c r="H473" s="9"/>
      <c r="I473" s="9"/>
    </row>
    <row r="474" spans="8:9" ht="13.2">
      <c r="H474" s="9"/>
      <c r="I474" s="9"/>
    </row>
    <row r="475" spans="8:9" ht="13.2">
      <c r="H475" s="9"/>
      <c r="I475" s="9"/>
    </row>
    <row r="476" spans="8:9" ht="13.2">
      <c r="H476" s="9"/>
      <c r="I476" s="9"/>
    </row>
    <row r="477" spans="8:9" ht="13.2">
      <c r="H477" s="9"/>
      <c r="I477" s="9"/>
    </row>
    <row r="478" spans="8:9" ht="13.2">
      <c r="H478" s="9"/>
      <c r="I478" s="9"/>
    </row>
    <row r="479" spans="8:9" ht="13.2">
      <c r="H479" s="9"/>
      <c r="I479" s="9"/>
    </row>
    <row r="480" spans="8:9" ht="13.2">
      <c r="H480" s="9"/>
      <c r="I480" s="9"/>
    </row>
    <row r="481" spans="8:9" ht="13.2">
      <c r="H481" s="9"/>
      <c r="I481" s="9"/>
    </row>
    <row r="482" spans="8:9" ht="13.2">
      <c r="H482" s="9"/>
      <c r="I482" s="9"/>
    </row>
    <row r="483" spans="8:9" ht="13.2">
      <c r="H483" s="9"/>
      <c r="I483" s="9"/>
    </row>
    <row r="484" spans="8:9" ht="13.2">
      <c r="H484" s="9"/>
      <c r="I484" s="9"/>
    </row>
    <row r="485" spans="8:9" ht="13.2">
      <c r="H485" s="9"/>
      <c r="I485" s="9"/>
    </row>
    <row r="486" spans="8:9" ht="13.2">
      <c r="H486" s="9"/>
      <c r="I486" s="9"/>
    </row>
    <row r="487" spans="8:9" ht="13.2">
      <c r="H487" s="9"/>
      <c r="I487" s="9"/>
    </row>
    <row r="488" spans="8:9" ht="13.2">
      <c r="H488" s="9"/>
      <c r="I488" s="9"/>
    </row>
    <row r="489" spans="8:9" ht="13.2">
      <c r="H489" s="9"/>
      <c r="I489" s="9"/>
    </row>
    <row r="490" spans="8:9" ht="13.2">
      <c r="H490" s="9"/>
      <c r="I490" s="9"/>
    </row>
    <row r="491" spans="8:9" ht="13.2">
      <c r="H491" s="9"/>
      <c r="I491" s="9"/>
    </row>
    <row r="492" spans="8:9" ht="13.2">
      <c r="H492" s="9"/>
      <c r="I492" s="9"/>
    </row>
    <row r="493" spans="8:9" ht="13.2">
      <c r="H493" s="9"/>
      <c r="I493" s="9"/>
    </row>
    <row r="494" spans="8:9" ht="13.2">
      <c r="H494" s="9"/>
      <c r="I494" s="9"/>
    </row>
    <row r="495" spans="8:9" ht="13.2">
      <c r="H495" s="9"/>
      <c r="I495" s="9"/>
    </row>
    <row r="496" spans="8:9" ht="13.2">
      <c r="H496" s="9"/>
      <c r="I496" s="9"/>
    </row>
    <row r="497" spans="8:9" ht="13.2">
      <c r="H497" s="9"/>
      <c r="I497" s="9"/>
    </row>
    <row r="498" spans="8:9" ht="13.2">
      <c r="H498" s="9"/>
      <c r="I498" s="9"/>
    </row>
    <row r="499" spans="8:9" ht="13.2">
      <c r="H499" s="9"/>
      <c r="I499" s="9"/>
    </row>
    <row r="500" spans="8:9" ht="13.2">
      <c r="H500" s="9"/>
      <c r="I500" s="9"/>
    </row>
    <row r="501" spans="8:9" ht="13.2">
      <c r="H501" s="9"/>
      <c r="I501" s="9"/>
    </row>
    <row r="502" spans="8:9" ht="13.2">
      <c r="H502" s="9"/>
      <c r="I502" s="9"/>
    </row>
    <row r="503" spans="8:9" ht="13.2">
      <c r="H503" s="9"/>
      <c r="I503" s="9"/>
    </row>
    <row r="504" spans="8:9" ht="13.2">
      <c r="H504" s="9"/>
      <c r="I504" s="9"/>
    </row>
    <row r="505" spans="8:9" ht="13.2">
      <c r="H505" s="9"/>
      <c r="I505" s="9"/>
    </row>
    <row r="506" spans="8:9" ht="13.2">
      <c r="H506" s="9"/>
      <c r="I506" s="9"/>
    </row>
    <row r="507" spans="8:9" ht="13.2">
      <c r="H507" s="9"/>
      <c r="I507" s="9"/>
    </row>
    <row r="508" spans="8:9" ht="13.2">
      <c r="H508" s="9"/>
      <c r="I508" s="9"/>
    </row>
    <row r="509" spans="8:9" ht="13.2">
      <c r="H509" s="9"/>
      <c r="I509" s="9"/>
    </row>
    <row r="510" spans="8:9" ht="13.2">
      <c r="H510" s="9"/>
      <c r="I510" s="9"/>
    </row>
    <row r="511" spans="8:9" ht="13.2">
      <c r="H511" s="9"/>
      <c r="I511" s="9"/>
    </row>
    <row r="512" spans="8:9" ht="13.2">
      <c r="H512" s="9"/>
      <c r="I512" s="9"/>
    </row>
    <row r="513" spans="8:9" ht="13.2">
      <c r="H513" s="9"/>
      <c r="I513" s="9"/>
    </row>
    <row r="514" spans="8:9" ht="13.2">
      <c r="H514" s="9"/>
      <c r="I514" s="9"/>
    </row>
    <row r="515" spans="8:9" ht="13.2">
      <c r="H515" s="9"/>
      <c r="I515" s="9"/>
    </row>
    <row r="516" spans="8:9" ht="13.2">
      <c r="H516" s="9"/>
      <c r="I516" s="9"/>
    </row>
    <row r="517" spans="8:9" ht="13.2">
      <c r="H517" s="9"/>
      <c r="I517" s="9"/>
    </row>
    <row r="518" spans="8:9" ht="13.2">
      <c r="H518" s="9"/>
      <c r="I518" s="9"/>
    </row>
    <row r="519" spans="8:9" ht="13.2">
      <c r="H519" s="9"/>
      <c r="I519" s="9"/>
    </row>
    <row r="520" spans="8:9" ht="13.2">
      <c r="H520" s="9"/>
      <c r="I520" s="9"/>
    </row>
    <row r="521" spans="8:9" ht="13.2">
      <c r="H521" s="9"/>
      <c r="I521" s="9"/>
    </row>
    <row r="522" spans="8:9" ht="13.2">
      <c r="H522" s="9"/>
      <c r="I522" s="9"/>
    </row>
    <row r="523" spans="8:9" ht="13.2">
      <c r="H523" s="9"/>
      <c r="I523" s="9"/>
    </row>
    <row r="524" spans="8:9" ht="13.2">
      <c r="H524" s="9"/>
      <c r="I524" s="9"/>
    </row>
    <row r="525" spans="8:9" ht="13.2">
      <c r="H525" s="9"/>
      <c r="I525" s="9"/>
    </row>
    <row r="526" spans="8:9" ht="13.2">
      <c r="H526" s="9"/>
      <c r="I526" s="9"/>
    </row>
    <row r="527" spans="8:9" ht="13.2">
      <c r="H527" s="9"/>
      <c r="I527" s="9"/>
    </row>
    <row r="528" spans="8:9" ht="13.2">
      <c r="H528" s="9"/>
      <c r="I528" s="9"/>
    </row>
    <row r="529" spans="8:9" ht="13.2">
      <c r="H529" s="9"/>
      <c r="I529" s="9"/>
    </row>
    <row r="530" spans="8:9" ht="13.2">
      <c r="H530" s="9"/>
      <c r="I530" s="9"/>
    </row>
    <row r="531" spans="8:9" ht="13.2">
      <c r="H531" s="9"/>
      <c r="I531" s="9"/>
    </row>
    <row r="532" spans="8:9" ht="13.2">
      <c r="H532" s="9"/>
      <c r="I532" s="9"/>
    </row>
    <row r="533" spans="8:9" ht="13.2">
      <c r="H533" s="9"/>
      <c r="I533" s="9"/>
    </row>
    <row r="534" spans="8:9" ht="13.2">
      <c r="H534" s="9"/>
      <c r="I534" s="9"/>
    </row>
    <row r="535" spans="8:9" ht="13.2">
      <c r="H535" s="9"/>
      <c r="I535" s="9"/>
    </row>
    <row r="536" spans="8:9" ht="13.2">
      <c r="H536" s="9"/>
      <c r="I536" s="9"/>
    </row>
    <row r="537" spans="8:9" ht="13.2">
      <c r="H537" s="9"/>
      <c r="I537" s="9"/>
    </row>
    <row r="538" spans="8:9" ht="13.2">
      <c r="H538" s="9"/>
      <c r="I538" s="9"/>
    </row>
    <row r="539" spans="8:9" ht="13.2">
      <c r="H539" s="9"/>
      <c r="I539" s="9"/>
    </row>
    <row r="540" spans="8:9" ht="13.2">
      <c r="H540" s="9"/>
      <c r="I540" s="9"/>
    </row>
    <row r="541" spans="8:9" ht="13.2">
      <c r="H541" s="9"/>
      <c r="I541" s="9"/>
    </row>
    <row r="542" spans="8:9" ht="13.2">
      <c r="H542" s="9"/>
      <c r="I542" s="9"/>
    </row>
    <row r="543" spans="8:9" ht="13.2">
      <c r="H543" s="9"/>
      <c r="I543" s="9"/>
    </row>
    <row r="544" spans="8:9" ht="13.2">
      <c r="H544" s="9"/>
      <c r="I544" s="9"/>
    </row>
    <row r="545" spans="8:9" ht="13.2">
      <c r="H545" s="9"/>
      <c r="I545" s="9"/>
    </row>
    <row r="546" spans="8:9" ht="13.2">
      <c r="H546" s="9"/>
      <c r="I546" s="9"/>
    </row>
    <row r="547" spans="8:9" ht="13.2">
      <c r="H547" s="9"/>
      <c r="I547" s="9"/>
    </row>
    <row r="548" spans="8:9" ht="13.2">
      <c r="H548" s="9"/>
      <c r="I548" s="9"/>
    </row>
    <row r="549" spans="8:9" ht="13.2">
      <c r="H549" s="9"/>
      <c r="I549" s="9"/>
    </row>
    <row r="550" spans="8:9" ht="13.2">
      <c r="H550" s="9"/>
      <c r="I550" s="9"/>
    </row>
    <row r="551" spans="8:9" ht="13.2">
      <c r="H551" s="9"/>
      <c r="I551" s="9"/>
    </row>
    <row r="552" spans="8:9" ht="13.2">
      <c r="H552" s="9"/>
      <c r="I552" s="9"/>
    </row>
    <row r="553" spans="8:9" ht="13.2">
      <c r="H553" s="9"/>
      <c r="I553" s="9"/>
    </row>
    <row r="554" spans="8:9" ht="13.2">
      <c r="H554" s="9"/>
      <c r="I554" s="9"/>
    </row>
    <row r="555" spans="8:9" ht="13.2">
      <c r="H555" s="9"/>
      <c r="I555" s="9"/>
    </row>
    <row r="556" spans="8:9" ht="13.2">
      <c r="H556" s="9"/>
      <c r="I556" s="9"/>
    </row>
    <row r="557" spans="8:9" ht="13.2">
      <c r="H557" s="9"/>
      <c r="I557" s="9"/>
    </row>
    <row r="558" spans="8:9" ht="13.2">
      <c r="H558" s="9"/>
      <c r="I558" s="9"/>
    </row>
    <row r="559" spans="8:9" ht="13.2">
      <c r="H559" s="9"/>
      <c r="I559" s="9"/>
    </row>
    <row r="560" spans="8:9" ht="13.2">
      <c r="H560" s="9"/>
      <c r="I560" s="9"/>
    </row>
    <row r="561" spans="8:9" ht="13.2">
      <c r="H561" s="9"/>
      <c r="I561" s="9"/>
    </row>
    <row r="562" spans="8:9" ht="13.2">
      <c r="H562" s="9"/>
      <c r="I562" s="9"/>
    </row>
    <row r="563" spans="8:9" ht="13.2">
      <c r="H563" s="9"/>
      <c r="I563" s="9"/>
    </row>
    <row r="564" spans="8:9" ht="13.2">
      <c r="H564" s="9"/>
      <c r="I564" s="9"/>
    </row>
    <row r="565" spans="8:9" ht="13.2">
      <c r="H565" s="9"/>
      <c r="I565" s="9"/>
    </row>
    <row r="566" spans="8:9" ht="13.2">
      <c r="H566" s="9"/>
      <c r="I566" s="9"/>
    </row>
    <row r="567" spans="8:9" ht="13.2">
      <c r="H567" s="9"/>
      <c r="I567" s="9"/>
    </row>
    <row r="568" spans="8:9" ht="13.2">
      <c r="H568" s="9"/>
      <c r="I568" s="9"/>
    </row>
    <row r="569" spans="8:9" ht="13.2">
      <c r="H569" s="9"/>
      <c r="I569" s="9"/>
    </row>
    <row r="570" spans="8:9" ht="13.2">
      <c r="H570" s="9"/>
      <c r="I570" s="9"/>
    </row>
    <row r="571" spans="8:9" ht="13.2">
      <c r="H571" s="9"/>
      <c r="I571" s="9"/>
    </row>
    <row r="572" spans="8:9" ht="13.2">
      <c r="H572" s="9"/>
      <c r="I572" s="9"/>
    </row>
    <row r="573" spans="8:9" ht="13.2">
      <c r="H573" s="9"/>
      <c r="I573" s="9"/>
    </row>
    <row r="574" spans="8:9" ht="13.2">
      <c r="H574" s="9"/>
      <c r="I574" s="9"/>
    </row>
    <row r="575" spans="8:9" ht="13.2">
      <c r="H575" s="9"/>
      <c r="I575" s="9"/>
    </row>
    <row r="576" spans="8:9" ht="13.2">
      <c r="H576" s="9"/>
      <c r="I576" s="9"/>
    </row>
    <row r="577" spans="8:9" ht="13.2">
      <c r="H577" s="9"/>
      <c r="I577" s="9"/>
    </row>
    <row r="578" spans="8:9" ht="13.2">
      <c r="H578" s="9"/>
      <c r="I578" s="9"/>
    </row>
    <row r="579" spans="8:9" ht="13.2">
      <c r="H579" s="9"/>
      <c r="I579" s="9"/>
    </row>
    <row r="580" spans="8:9" ht="13.2">
      <c r="H580" s="9"/>
      <c r="I580" s="9"/>
    </row>
    <row r="581" spans="8:9" ht="13.2">
      <c r="H581" s="9"/>
      <c r="I581" s="9"/>
    </row>
    <row r="582" spans="8:9" ht="13.2">
      <c r="H582" s="9"/>
      <c r="I582" s="9"/>
    </row>
    <row r="583" spans="8:9" ht="13.2">
      <c r="H583" s="9"/>
      <c r="I583" s="9"/>
    </row>
    <row r="584" spans="8:9" ht="13.2">
      <c r="H584" s="9"/>
      <c r="I584" s="9"/>
    </row>
    <row r="585" spans="8:9" ht="13.2">
      <c r="H585" s="9"/>
      <c r="I585" s="9"/>
    </row>
    <row r="586" spans="8:9" ht="13.2">
      <c r="H586" s="9"/>
      <c r="I586" s="9"/>
    </row>
    <row r="587" spans="8:9" ht="13.2">
      <c r="H587" s="9"/>
      <c r="I587" s="9"/>
    </row>
    <row r="588" spans="8:9" ht="13.2">
      <c r="H588" s="9"/>
      <c r="I588" s="9"/>
    </row>
    <row r="589" spans="8:9" ht="13.2">
      <c r="H589" s="9"/>
      <c r="I589" s="9"/>
    </row>
    <row r="590" spans="8:9" ht="13.2">
      <c r="H590" s="9"/>
      <c r="I590" s="9"/>
    </row>
    <row r="591" spans="8:9" ht="13.2">
      <c r="H591" s="9"/>
      <c r="I591" s="9"/>
    </row>
    <row r="592" spans="8:9" ht="13.2">
      <c r="H592" s="9"/>
      <c r="I592" s="9"/>
    </row>
    <row r="593" spans="8:9" ht="13.2">
      <c r="H593" s="9"/>
      <c r="I593" s="9"/>
    </row>
    <row r="594" spans="8:9" ht="13.2">
      <c r="H594" s="9"/>
      <c r="I594" s="9"/>
    </row>
    <row r="595" spans="8:9" ht="13.2">
      <c r="H595" s="9"/>
      <c r="I595" s="9"/>
    </row>
    <row r="596" spans="8:9" ht="13.2">
      <c r="H596" s="9"/>
      <c r="I596" s="9"/>
    </row>
    <row r="597" spans="8:9" ht="13.2">
      <c r="H597" s="9"/>
      <c r="I597" s="9"/>
    </row>
    <row r="598" spans="8:9" ht="13.2">
      <c r="H598" s="9"/>
      <c r="I598" s="9"/>
    </row>
    <row r="599" spans="8:9" ht="13.2">
      <c r="H599" s="9"/>
      <c r="I599" s="9"/>
    </row>
    <row r="600" spans="8:9" ht="13.2">
      <c r="H600" s="9"/>
      <c r="I600" s="9"/>
    </row>
    <row r="601" spans="8:9" ht="13.2">
      <c r="H601" s="9"/>
      <c r="I601" s="9"/>
    </row>
    <row r="602" spans="8:9" ht="13.2">
      <c r="H602" s="9"/>
      <c r="I602" s="9"/>
    </row>
    <row r="603" spans="8:9" ht="13.2">
      <c r="H603" s="9"/>
      <c r="I603" s="9"/>
    </row>
    <row r="604" spans="8:9" ht="13.2">
      <c r="H604" s="9"/>
      <c r="I604" s="9"/>
    </row>
    <row r="605" spans="8:9" ht="13.2">
      <c r="H605" s="9"/>
      <c r="I605" s="9"/>
    </row>
    <row r="606" spans="8:9" ht="13.2">
      <c r="H606" s="9"/>
      <c r="I606" s="9"/>
    </row>
    <row r="607" spans="8:9" ht="13.2">
      <c r="H607" s="9"/>
      <c r="I607" s="9"/>
    </row>
    <row r="608" spans="8:9" ht="13.2">
      <c r="H608" s="9"/>
      <c r="I608" s="9"/>
    </row>
    <row r="609" spans="8:9" ht="13.2">
      <c r="H609" s="9"/>
      <c r="I609" s="9"/>
    </row>
    <row r="610" spans="8:9" ht="13.2">
      <c r="H610" s="9"/>
      <c r="I610" s="9"/>
    </row>
    <row r="611" spans="8:9" ht="13.2">
      <c r="H611" s="9"/>
      <c r="I611" s="9"/>
    </row>
    <row r="612" spans="8:9" ht="13.2">
      <c r="H612" s="9"/>
      <c r="I612" s="9"/>
    </row>
    <row r="613" spans="8:9" ht="13.2">
      <c r="H613" s="9"/>
      <c r="I613" s="9"/>
    </row>
    <row r="614" spans="8:9" ht="13.2">
      <c r="H614" s="9"/>
      <c r="I614" s="9"/>
    </row>
    <row r="615" spans="8:9" ht="13.2">
      <c r="H615" s="9"/>
      <c r="I615" s="9"/>
    </row>
    <row r="616" spans="8:9" ht="13.2">
      <c r="H616" s="9"/>
      <c r="I616" s="9"/>
    </row>
    <row r="617" spans="8:9" ht="13.2">
      <c r="H617" s="9"/>
      <c r="I617" s="9"/>
    </row>
    <row r="618" spans="8:9" ht="13.2">
      <c r="H618" s="9"/>
      <c r="I618" s="9"/>
    </row>
    <row r="619" spans="8:9" ht="13.2">
      <c r="H619" s="9"/>
      <c r="I619" s="9"/>
    </row>
    <row r="620" spans="8:9" ht="13.2">
      <c r="H620" s="9"/>
      <c r="I620" s="9"/>
    </row>
    <row r="621" spans="8:9" ht="13.2">
      <c r="H621" s="9"/>
      <c r="I621" s="9"/>
    </row>
    <row r="622" spans="8:9" ht="13.2">
      <c r="H622" s="9"/>
      <c r="I622" s="9"/>
    </row>
    <row r="623" spans="8:9" ht="13.2">
      <c r="H623" s="9"/>
      <c r="I623" s="9"/>
    </row>
    <row r="624" spans="8:9" ht="13.2">
      <c r="H624" s="9"/>
      <c r="I624" s="9"/>
    </row>
    <row r="625" spans="8:9" ht="13.2">
      <c r="H625" s="9"/>
      <c r="I625" s="9"/>
    </row>
    <row r="626" spans="8:9" ht="13.2">
      <c r="H626" s="9"/>
      <c r="I626" s="9"/>
    </row>
    <row r="627" spans="8:9" ht="13.2">
      <c r="H627" s="9"/>
      <c r="I627" s="9"/>
    </row>
    <row r="628" spans="8:9" ht="13.2">
      <c r="H628" s="9"/>
      <c r="I628" s="9"/>
    </row>
    <row r="629" spans="8:9" ht="13.2">
      <c r="H629" s="9"/>
      <c r="I629" s="9"/>
    </row>
    <row r="630" spans="8:9" ht="13.2">
      <c r="H630" s="9"/>
      <c r="I630" s="9"/>
    </row>
    <row r="631" spans="8:9" ht="13.2">
      <c r="H631" s="9"/>
      <c r="I631" s="9"/>
    </row>
    <row r="632" spans="8:9" ht="13.2">
      <c r="H632" s="9"/>
      <c r="I632" s="9"/>
    </row>
    <row r="633" spans="8:9" ht="13.2">
      <c r="H633" s="9"/>
      <c r="I633" s="9"/>
    </row>
    <row r="634" spans="8:9" ht="13.2">
      <c r="H634" s="9"/>
      <c r="I634" s="9"/>
    </row>
    <row r="635" spans="8:9" ht="13.2">
      <c r="H635" s="9"/>
      <c r="I635" s="9"/>
    </row>
    <row r="636" spans="8:9" ht="13.2">
      <c r="H636" s="9"/>
      <c r="I636" s="9"/>
    </row>
    <row r="637" spans="8:9" ht="13.2">
      <c r="H637" s="9"/>
      <c r="I637" s="9"/>
    </row>
    <row r="638" spans="8:9" ht="13.2">
      <c r="H638" s="9"/>
      <c r="I638" s="9"/>
    </row>
    <row r="639" spans="8:9" ht="13.2">
      <c r="H639" s="9"/>
      <c r="I639" s="9"/>
    </row>
    <row r="640" spans="8:9" ht="13.2">
      <c r="H640" s="9"/>
      <c r="I640" s="9"/>
    </row>
    <row r="641" spans="8:9" ht="13.2">
      <c r="H641" s="9"/>
      <c r="I641" s="9"/>
    </row>
    <row r="642" spans="8:9" ht="13.2">
      <c r="H642" s="9"/>
      <c r="I642" s="9"/>
    </row>
    <row r="643" spans="8:9" ht="13.2">
      <c r="H643" s="9"/>
      <c r="I643" s="9"/>
    </row>
    <row r="644" spans="8:9" ht="13.2">
      <c r="H644" s="9"/>
      <c r="I644" s="9"/>
    </row>
    <row r="645" spans="8:9" ht="13.2">
      <c r="H645" s="9"/>
      <c r="I645" s="9"/>
    </row>
    <row r="646" spans="8:9" ht="13.2">
      <c r="H646" s="9"/>
      <c r="I646" s="9"/>
    </row>
    <row r="647" spans="8:9" ht="13.2">
      <c r="H647" s="9"/>
      <c r="I647" s="9"/>
    </row>
    <row r="648" spans="8:9" ht="13.2">
      <c r="H648" s="9"/>
      <c r="I648" s="9"/>
    </row>
    <row r="649" spans="8:9" ht="13.2">
      <c r="H649" s="9"/>
      <c r="I649" s="9"/>
    </row>
    <row r="650" spans="8:9" ht="13.2">
      <c r="H650" s="9"/>
      <c r="I650" s="9"/>
    </row>
    <row r="651" spans="8:9" ht="13.2">
      <c r="H651" s="9"/>
      <c r="I651" s="9"/>
    </row>
    <row r="652" spans="8:9" ht="13.2">
      <c r="H652" s="9"/>
      <c r="I652" s="9"/>
    </row>
    <row r="653" spans="8:9" ht="13.2">
      <c r="H653" s="9"/>
      <c r="I653" s="9"/>
    </row>
    <row r="654" spans="8:9" ht="13.2">
      <c r="H654" s="9"/>
      <c r="I654" s="9"/>
    </row>
    <row r="655" spans="8:9" ht="13.2">
      <c r="H655" s="9"/>
      <c r="I655" s="9"/>
    </row>
    <row r="656" spans="8:9" ht="13.2">
      <c r="H656" s="9"/>
      <c r="I656" s="9"/>
    </row>
    <row r="657" spans="8:9" ht="13.2">
      <c r="H657" s="9"/>
      <c r="I657" s="9"/>
    </row>
    <row r="658" spans="8:9" ht="13.2">
      <c r="H658" s="9"/>
      <c r="I658" s="9"/>
    </row>
    <row r="659" spans="8:9" ht="13.2">
      <c r="H659" s="9"/>
      <c r="I659" s="9"/>
    </row>
    <row r="660" spans="8:9" ht="13.2">
      <c r="H660" s="9"/>
      <c r="I660" s="9"/>
    </row>
    <row r="661" spans="8:9" ht="13.2">
      <c r="H661" s="9"/>
      <c r="I661" s="9"/>
    </row>
    <row r="662" spans="8:9" ht="13.2">
      <c r="H662" s="9"/>
      <c r="I662" s="9"/>
    </row>
    <row r="663" spans="8:9" ht="13.2">
      <c r="H663" s="9"/>
      <c r="I663" s="9"/>
    </row>
    <row r="664" spans="8:9" ht="13.2">
      <c r="H664" s="9"/>
      <c r="I664" s="9"/>
    </row>
    <row r="665" spans="8:9" ht="13.2">
      <c r="H665" s="9"/>
      <c r="I665" s="9"/>
    </row>
    <row r="666" spans="8:9" ht="13.2">
      <c r="H666" s="9"/>
      <c r="I666" s="9"/>
    </row>
    <row r="667" spans="8:9" ht="13.2">
      <c r="H667" s="9"/>
      <c r="I667" s="9"/>
    </row>
    <row r="668" spans="8:9" ht="13.2">
      <c r="H668" s="9"/>
      <c r="I668" s="9"/>
    </row>
    <row r="669" spans="8:9" ht="13.2">
      <c r="H669" s="9"/>
      <c r="I669" s="9"/>
    </row>
    <row r="670" spans="8:9" ht="13.2">
      <c r="H670" s="9"/>
      <c r="I670" s="9"/>
    </row>
    <row r="671" spans="8:9" ht="13.2">
      <c r="H671" s="9"/>
      <c r="I671" s="9"/>
    </row>
    <row r="672" spans="8:9" ht="13.2">
      <c r="H672" s="9"/>
      <c r="I672" s="9"/>
    </row>
    <row r="673" spans="8:9" ht="13.2">
      <c r="H673" s="9"/>
      <c r="I673" s="9"/>
    </row>
    <row r="674" spans="8:9" ht="13.2">
      <c r="H674" s="9"/>
      <c r="I674" s="9"/>
    </row>
    <row r="675" spans="8:9" ht="13.2">
      <c r="H675" s="9"/>
      <c r="I675" s="9"/>
    </row>
    <row r="676" spans="8:9" ht="13.2">
      <c r="H676" s="9"/>
      <c r="I676" s="9"/>
    </row>
    <row r="677" spans="8:9" ht="13.2">
      <c r="H677" s="9"/>
      <c r="I677" s="9"/>
    </row>
    <row r="678" spans="8:9" ht="13.2">
      <c r="H678" s="9"/>
      <c r="I678" s="9"/>
    </row>
    <row r="679" spans="8:9" ht="13.2">
      <c r="H679" s="9"/>
      <c r="I679" s="9"/>
    </row>
    <row r="680" spans="8:9" ht="13.2">
      <c r="H680" s="9"/>
      <c r="I680" s="9"/>
    </row>
    <row r="681" spans="8:9" ht="13.2">
      <c r="H681" s="9"/>
      <c r="I681" s="9"/>
    </row>
    <row r="682" spans="8:9" ht="13.2">
      <c r="H682" s="9"/>
      <c r="I682" s="9"/>
    </row>
    <row r="683" spans="8:9" ht="13.2">
      <c r="H683" s="9"/>
      <c r="I683" s="9"/>
    </row>
    <row r="684" spans="8:9" ht="13.2">
      <c r="H684" s="9"/>
      <c r="I684" s="9"/>
    </row>
    <row r="685" spans="8:9" ht="13.2">
      <c r="H685" s="9"/>
      <c r="I685" s="9"/>
    </row>
    <row r="686" spans="8:9" ht="13.2">
      <c r="H686" s="9"/>
      <c r="I686" s="9"/>
    </row>
    <row r="687" spans="8:9" ht="13.2">
      <c r="H687" s="9"/>
      <c r="I687" s="9"/>
    </row>
    <row r="688" spans="8:9" ht="13.2">
      <c r="H688" s="9"/>
      <c r="I688" s="9"/>
    </row>
    <row r="689" spans="8:9" ht="13.2">
      <c r="H689" s="9"/>
      <c r="I689" s="9"/>
    </row>
    <row r="690" spans="8:9" ht="13.2">
      <c r="H690" s="9"/>
      <c r="I690" s="9"/>
    </row>
    <row r="691" spans="8:9" ht="13.2">
      <c r="H691" s="9"/>
      <c r="I691" s="9"/>
    </row>
    <row r="692" spans="8:9" ht="13.2">
      <c r="H692" s="9"/>
      <c r="I692" s="9"/>
    </row>
    <row r="693" spans="8:9" ht="13.2">
      <c r="H693" s="9"/>
      <c r="I693" s="9"/>
    </row>
    <row r="694" spans="8:9" ht="13.2">
      <c r="H694" s="9"/>
      <c r="I694" s="9"/>
    </row>
    <row r="695" spans="8:9" ht="13.2">
      <c r="H695" s="9"/>
      <c r="I695" s="9"/>
    </row>
    <row r="696" spans="8:9" ht="13.2">
      <c r="H696" s="9"/>
      <c r="I696" s="9"/>
    </row>
    <row r="697" spans="8:9" ht="13.2">
      <c r="H697" s="9"/>
      <c r="I697" s="9"/>
    </row>
    <row r="698" spans="8:9" ht="13.2">
      <c r="H698" s="9"/>
      <c r="I698" s="9"/>
    </row>
    <row r="699" spans="8:9" ht="13.2">
      <c r="H699" s="9"/>
      <c r="I699" s="9"/>
    </row>
    <row r="700" spans="8:9" ht="13.2">
      <c r="H700" s="9"/>
      <c r="I700" s="9"/>
    </row>
    <row r="701" spans="8:9" ht="13.2">
      <c r="H701" s="9"/>
      <c r="I701" s="9"/>
    </row>
    <row r="702" spans="8:9" ht="13.2">
      <c r="H702" s="9"/>
      <c r="I702" s="9"/>
    </row>
    <row r="703" spans="8:9" ht="13.2">
      <c r="H703" s="9"/>
      <c r="I703" s="9"/>
    </row>
    <row r="704" spans="8:9" ht="13.2">
      <c r="H704" s="9"/>
      <c r="I704" s="9"/>
    </row>
    <row r="705" spans="8:9" ht="13.2">
      <c r="H705" s="9"/>
      <c r="I705" s="9"/>
    </row>
    <row r="706" spans="8:9" ht="13.2">
      <c r="H706" s="9"/>
      <c r="I706" s="9"/>
    </row>
    <row r="707" spans="8:9" ht="13.2">
      <c r="H707" s="9"/>
      <c r="I707" s="9"/>
    </row>
    <row r="708" spans="8:9" ht="13.2">
      <c r="H708" s="9"/>
      <c r="I708" s="9"/>
    </row>
    <row r="709" spans="8:9" ht="13.2">
      <c r="H709" s="9"/>
      <c r="I709" s="9"/>
    </row>
    <row r="710" spans="8:9" ht="13.2">
      <c r="H710" s="9"/>
      <c r="I710" s="9"/>
    </row>
    <row r="711" spans="8:9" ht="13.2">
      <c r="H711" s="9"/>
      <c r="I711" s="9"/>
    </row>
    <row r="712" spans="8:9" ht="13.2">
      <c r="H712" s="9"/>
      <c r="I712" s="9"/>
    </row>
    <row r="713" spans="8:9" ht="13.2">
      <c r="H713" s="9"/>
      <c r="I713" s="9"/>
    </row>
    <row r="714" spans="8:9" ht="13.2">
      <c r="H714" s="9"/>
      <c r="I714" s="9"/>
    </row>
    <row r="715" spans="8:9" ht="13.2">
      <c r="H715" s="9"/>
      <c r="I715" s="9"/>
    </row>
    <row r="716" spans="8:9" ht="13.2">
      <c r="H716" s="9"/>
      <c r="I716" s="9"/>
    </row>
    <row r="717" spans="8:9" ht="13.2">
      <c r="H717" s="9"/>
      <c r="I717" s="9"/>
    </row>
    <row r="718" spans="8:9" ht="13.2">
      <c r="H718" s="9"/>
      <c r="I718" s="9"/>
    </row>
    <row r="719" spans="8:9" ht="13.2">
      <c r="H719" s="9"/>
      <c r="I719" s="9"/>
    </row>
    <row r="720" spans="8:9" ht="13.2">
      <c r="H720" s="9"/>
      <c r="I720" s="9"/>
    </row>
    <row r="721" spans="8:9" ht="13.2">
      <c r="H721" s="9"/>
      <c r="I721" s="9"/>
    </row>
    <row r="722" spans="8:9" ht="13.2">
      <c r="H722" s="9"/>
      <c r="I722" s="9"/>
    </row>
    <row r="723" spans="8:9" ht="13.2">
      <c r="H723" s="9"/>
      <c r="I723" s="9"/>
    </row>
    <row r="724" spans="8:9" ht="13.2">
      <c r="H724" s="9"/>
      <c r="I724" s="9"/>
    </row>
    <row r="725" spans="8:9" ht="13.2">
      <c r="H725" s="9"/>
      <c r="I725" s="9"/>
    </row>
    <row r="726" spans="8:9" ht="13.2">
      <c r="H726" s="9"/>
      <c r="I726" s="9"/>
    </row>
    <row r="727" spans="8:9" ht="13.2">
      <c r="H727" s="9"/>
      <c r="I727" s="9"/>
    </row>
    <row r="728" spans="8:9" ht="13.2">
      <c r="H728" s="9"/>
      <c r="I728" s="9"/>
    </row>
    <row r="729" spans="8:9" ht="13.2">
      <c r="H729" s="9"/>
      <c r="I729" s="9"/>
    </row>
    <row r="730" spans="8:9" ht="13.2">
      <c r="H730" s="9"/>
      <c r="I730" s="9"/>
    </row>
    <row r="731" spans="8:9" ht="13.2">
      <c r="H731" s="9"/>
      <c r="I731" s="9"/>
    </row>
    <row r="732" spans="8:9" ht="13.2">
      <c r="H732" s="9"/>
      <c r="I732" s="9"/>
    </row>
    <row r="733" spans="8:9" ht="13.2">
      <c r="H733" s="9"/>
      <c r="I733" s="9"/>
    </row>
    <row r="734" spans="8:9" ht="13.2">
      <c r="H734" s="9"/>
      <c r="I734" s="9"/>
    </row>
    <row r="735" spans="8:9" ht="13.2">
      <c r="H735" s="9"/>
      <c r="I735" s="9"/>
    </row>
    <row r="736" spans="8:9" ht="13.2">
      <c r="H736" s="9"/>
      <c r="I736" s="9"/>
    </row>
    <row r="737" spans="8:9" ht="13.2">
      <c r="H737" s="9"/>
      <c r="I737" s="9"/>
    </row>
    <row r="738" spans="8:9" ht="13.2">
      <c r="H738" s="9"/>
      <c r="I738" s="9"/>
    </row>
    <row r="739" spans="8:9" ht="13.2">
      <c r="H739" s="9"/>
      <c r="I739" s="9"/>
    </row>
    <row r="740" spans="8:9" ht="13.2">
      <c r="H740" s="9"/>
      <c r="I740" s="9"/>
    </row>
    <row r="741" spans="8:9" ht="13.2">
      <c r="H741" s="9"/>
      <c r="I741" s="9"/>
    </row>
    <row r="742" spans="8:9" ht="13.2">
      <c r="H742" s="9"/>
      <c r="I742" s="9"/>
    </row>
    <row r="743" spans="8:9" ht="13.2">
      <c r="H743" s="9"/>
      <c r="I743" s="9"/>
    </row>
    <row r="744" spans="8:9" ht="13.2">
      <c r="H744" s="9"/>
      <c r="I744" s="9"/>
    </row>
    <row r="745" spans="8:9" ht="13.2">
      <c r="H745" s="9"/>
      <c r="I745" s="9"/>
    </row>
    <row r="746" spans="8:9" ht="13.2">
      <c r="H746" s="9"/>
      <c r="I746" s="9"/>
    </row>
    <row r="747" spans="8:9" ht="13.2">
      <c r="H747" s="9"/>
      <c r="I747" s="9"/>
    </row>
    <row r="748" spans="8:9" ht="13.2">
      <c r="H748" s="9"/>
      <c r="I748" s="9"/>
    </row>
    <row r="749" spans="8:9" ht="13.2">
      <c r="H749" s="9"/>
      <c r="I749" s="9"/>
    </row>
    <row r="750" spans="8:9" ht="13.2">
      <c r="H750" s="9"/>
      <c r="I750" s="9"/>
    </row>
    <row r="751" spans="8:9" ht="13.2">
      <c r="H751" s="9"/>
      <c r="I751" s="9"/>
    </row>
    <row r="752" spans="8:9" ht="13.2">
      <c r="H752" s="9"/>
      <c r="I752" s="9"/>
    </row>
    <row r="753" spans="8:9" ht="13.2">
      <c r="H753" s="9"/>
      <c r="I753" s="9"/>
    </row>
    <row r="754" spans="8:9" ht="13.2">
      <c r="H754" s="9"/>
      <c r="I754" s="9"/>
    </row>
    <row r="755" spans="8:9" ht="13.2">
      <c r="H755" s="9"/>
      <c r="I755" s="9"/>
    </row>
    <row r="756" spans="8:9" ht="13.2">
      <c r="H756" s="9"/>
      <c r="I756" s="9"/>
    </row>
    <row r="757" spans="8:9" ht="13.2">
      <c r="H757" s="9"/>
      <c r="I757" s="9"/>
    </row>
    <row r="758" spans="8:9" ht="13.2">
      <c r="H758" s="9"/>
      <c r="I758" s="9"/>
    </row>
    <row r="759" spans="8:9" ht="13.2">
      <c r="H759" s="9"/>
      <c r="I759" s="9"/>
    </row>
    <row r="760" spans="8:9" ht="13.2">
      <c r="H760" s="9"/>
      <c r="I760" s="9"/>
    </row>
    <row r="761" spans="8:9" ht="13.2">
      <c r="H761" s="9"/>
      <c r="I761" s="9"/>
    </row>
    <row r="762" spans="8:9" ht="13.2">
      <c r="H762" s="9"/>
      <c r="I762" s="9"/>
    </row>
    <row r="763" spans="8:9" ht="13.2">
      <c r="H763" s="9"/>
      <c r="I763" s="9"/>
    </row>
    <row r="764" spans="8:9" ht="13.2">
      <c r="H764" s="9"/>
      <c r="I764" s="9"/>
    </row>
    <row r="765" spans="8:9" ht="13.2">
      <c r="H765" s="9"/>
      <c r="I765" s="9"/>
    </row>
    <row r="766" spans="8:9" ht="13.2">
      <c r="H766" s="9"/>
      <c r="I766" s="9"/>
    </row>
    <row r="767" spans="8:9" ht="13.2">
      <c r="H767" s="9"/>
      <c r="I767" s="9"/>
    </row>
    <row r="768" spans="8:9" ht="13.2">
      <c r="H768" s="9"/>
      <c r="I768" s="9"/>
    </row>
    <row r="769" spans="8:9" ht="13.2">
      <c r="H769" s="9"/>
      <c r="I769" s="9"/>
    </row>
    <row r="770" spans="8:9" ht="13.2">
      <c r="H770" s="9"/>
      <c r="I770" s="9"/>
    </row>
    <row r="771" spans="8:9" ht="13.2">
      <c r="H771" s="9"/>
      <c r="I771" s="9"/>
    </row>
    <row r="772" spans="8:9" ht="13.2">
      <c r="H772" s="9"/>
      <c r="I772" s="9"/>
    </row>
    <row r="773" spans="8:9" ht="13.2">
      <c r="H773" s="9"/>
      <c r="I773" s="9"/>
    </row>
    <row r="774" spans="8:9" ht="13.2">
      <c r="H774" s="9"/>
      <c r="I774" s="9"/>
    </row>
    <row r="775" spans="8:9" ht="13.2">
      <c r="H775" s="9"/>
      <c r="I775" s="9"/>
    </row>
    <row r="776" spans="8:9" ht="13.2">
      <c r="H776" s="9"/>
      <c r="I776" s="9"/>
    </row>
    <row r="777" spans="8:9" ht="13.2">
      <c r="H777" s="9"/>
      <c r="I777" s="9"/>
    </row>
    <row r="778" spans="8:9" ht="13.2">
      <c r="H778" s="9"/>
      <c r="I778" s="9"/>
    </row>
    <row r="779" spans="8:9" ht="13.2">
      <c r="H779" s="9"/>
      <c r="I779" s="9"/>
    </row>
    <row r="780" spans="8:9" ht="13.2">
      <c r="H780" s="9"/>
      <c r="I780" s="9"/>
    </row>
    <row r="781" spans="8:9" ht="13.2">
      <c r="H781" s="9"/>
      <c r="I781" s="9"/>
    </row>
    <row r="782" spans="8:9" ht="13.2">
      <c r="H782" s="9"/>
      <c r="I782" s="9"/>
    </row>
    <row r="783" spans="8:9" ht="13.2">
      <c r="H783" s="9"/>
      <c r="I783" s="9"/>
    </row>
    <row r="784" spans="8:9" ht="13.2">
      <c r="H784" s="9"/>
      <c r="I784" s="9"/>
    </row>
    <row r="785" spans="8:9" ht="13.2">
      <c r="H785" s="9"/>
      <c r="I785" s="9"/>
    </row>
    <row r="786" spans="8:9" ht="13.2">
      <c r="H786" s="9"/>
      <c r="I786" s="9"/>
    </row>
    <row r="787" spans="8:9" ht="13.2">
      <c r="H787" s="9"/>
      <c r="I787" s="9"/>
    </row>
    <row r="788" spans="8:9" ht="13.2">
      <c r="H788" s="9"/>
      <c r="I788" s="9"/>
    </row>
    <row r="789" spans="8:9" ht="13.2">
      <c r="H789" s="9"/>
      <c r="I789" s="9"/>
    </row>
    <row r="790" spans="8:9" ht="13.2">
      <c r="H790" s="9"/>
      <c r="I790" s="9"/>
    </row>
    <row r="791" spans="8:9" ht="13.2">
      <c r="H791" s="9"/>
      <c r="I791" s="9"/>
    </row>
    <row r="792" spans="8:9" ht="13.2">
      <c r="H792" s="9"/>
      <c r="I792" s="9"/>
    </row>
    <row r="793" spans="8:9" ht="13.2">
      <c r="H793" s="9"/>
      <c r="I793" s="9"/>
    </row>
    <row r="794" spans="8:9" ht="13.2">
      <c r="H794" s="9"/>
      <c r="I794" s="9"/>
    </row>
    <row r="795" spans="8:9" ht="13.2">
      <c r="H795" s="9"/>
      <c r="I795" s="9"/>
    </row>
    <row r="796" spans="8:9" ht="13.2">
      <c r="H796" s="9"/>
      <c r="I796" s="9"/>
    </row>
    <row r="797" spans="8:9" ht="13.2">
      <c r="H797" s="9"/>
      <c r="I797" s="9"/>
    </row>
    <row r="798" spans="8:9" ht="13.2">
      <c r="H798" s="9"/>
      <c r="I798" s="9"/>
    </row>
    <row r="799" spans="8:9" ht="13.2">
      <c r="H799" s="9"/>
      <c r="I799" s="9"/>
    </row>
    <row r="800" spans="8:9" ht="13.2">
      <c r="H800" s="9"/>
      <c r="I800" s="9"/>
    </row>
    <row r="801" spans="8:9" ht="13.2">
      <c r="H801" s="9"/>
      <c r="I801" s="9"/>
    </row>
    <row r="802" spans="8:9" ht="13.2">
      <c r="H802" s="9"/>
      <c r="I802" s="9"/>
    </row>
    <row r="803" spans="8:9" ht="13.2">
      <c r="H803" s="9"/>
      <c r="I803" s="9"/>
    </row>
    <row r="804" spans="8:9" ht="13.2">
      <c r="H804" s="9"/>
      <c r="I804" s="9"/>
    </row>
    <row r="805" spans="8:9" ht="13.2">
      <c r="H805" s="9"/>
      <c r="I805" s="9"/>
    </row>
    <row r="806" spans="8:9" ht="13.2">
      <c r="H806" s="9"/>
      <c r="I806" s="9"/>
    </row>
    <row r="807" spans="8:9" ht="13.2">
      <c r="H807" s="9"/>
      <c r="I807" s="9"/>
    </row>
    <row r="808" spans="8:9" ht="13.2">
      <c r="H808" s="9"/>
      <c r="I808" s="9"/>
    </row>
    <row r="809" spans="8:9" ht="13.2">
      <c r="H809" s="9"/>
      <c r="I809" s="9"/>
    </row>
    <row r="810" spans="8:9" ht="13.2">
      <c r="H810" s="9"/>
      <c r="I810" s="9"/>
    </row>
    <row r="811" spans="8:9" ht="13.2">
      <c r="H811" s="9"/>
      <c r="I811" s="9"/>
    </row>
    <row r="812" spans="8:9" ht="13.2">
      <c r="H812" s="9"/>
      <c r="I812" s="9"/>
    </row>
    <row r="813" spans="8:9" ht="13.2">
      <c r="H813" s="9"/>
      <c r="I813" s="9"/>
    </row>
    <row r="814" spans="8:9" ht="13.2">
      <c r="H814" s="9"/>
      <c r="I814" s="9"/>
    </row>
    <row r="815" spans="8:9" ht="13.2">
      <c r="H815" s="9"/>
      <c r="I815" s="9"/>
    </row>
    <row r="816" spans="8:9" ht="13.2">
      <c r="H816" s="9"/>
      <c r="I816" s="9"/>
    </row>
    <row r="817" spans="8:9" ht="13.2">
      <c r="H817" s="9"/>
      <c r="I817" s="9"/>
    </row>
    <row r="818" spans="8:9" ht="13.2">
      <c r="H818" s="9"/>
      <c r="I818" s="9"/>
    </row>
    <row r="819" spans="8:9" ht="13.2">
      <c r="H819" s="9"/>
      <c r="I819" s="9"/>
    </row>
    <row r="820" spans="8:9" ht="13.2">
      <c r="H820" s="9"/>
      <c r="I820" s="9"/>
    </row>
    <row r="821" spans="8:9" ht="13.2">
      <c r="H821" s="9"/>
      <c r="I821" s="9"/>
    </row>
    <row r="822" spans="8:9" ht="13.2">
      <c r="H822" s="9"/>
      <c r="I822" s="9"/>
    </row>
    <row r="823" spans="8:9" ht="13.2">
      <c r="H823" s="9"/>
      <c r="I823" s="9"/>
    </row>
    <row r="824" spans="8:9" ht="13.2">
      <c r="H824" s="9"/>
      <c r="I824" s="9"/>
    </row>
    <row r="825" spans="8:9" ht="13.2">
      <c r="H825" s="9"/>
      <c r="I825" s="9"/>
    </row>
    <row r="826" spans="8:9" ht="13.2">
      <c r="H826" s="9"/>
      <c r="I826" s="9"/>
    </row>
    <row r="827" spans="8:9" ht="13.2">
      <c r="H827" s="9"/>
      <c r="I827" s="9"/>
    </row>
    <row r="828" spans="8:9" ht="13.2">
      <c r="H828" s="9"/>
      <c r="I828" s="9"/>
    </row>
    <row r="829" spans="8:9" ht="13.2">
      <c r="H829" s="9"/>
      <c r="I829" s="9"/>
    </row>
    <row r="830" spans="8:9" ht="13.2">
      <c r="H830" s="9"/>
      <c r="I830" s="9"/>
    </row>
    <row r="831" spans="8:9" ht="13.2">
      <c r="H831" s="9"/>
      <c r="I831" s="9"/>
    </row>
    <row r="832" spans="8:9" ht="13.2">
      <c r="H832" s="9"/>
      <c r="I832" s="9"/>
    </row>
    <row r="833" spans="8:9" ht="13.2">
      <c r="H833" s="9"/>
      <c r="I833" s="9"/>
    </row>
    <row r="834" spans="8:9" ht="13.2">
      <c r="H834" s="9"/>
      <c r="I834" s="9"/>
    </row>
    <row r="835" spans="8:9" ht="13.2">
      <c r="H835" s="9"/>
      <c r="I835" s="9"/>
    </row>
    <row r="836" spans="8:9" ht="13.2">
      <c r="H836" s="9"/>
      <c r="I836" s="9"/>
    </row>
    <row r="837" spans="8:9" ht="13.2">
      <c r="H837" s="9"/>
      <c r="I837" s="9"/>
    </row>
    <row r="838" spans="8:9" ht="13.2">
      <c r="H838" s="9"/>
      <c r="I838" s="9"/>
    </row>
    <row r="839" spans="8:9" ht="13.2">
      <c r="H839" s="9"/>
      <c r="I839" s="9"/>
    </row>
    <row r="840" spans="8:9" ht="13.2">
      <c r="H840" s="9"/>
      <c r="I840" s="9"/>
    </row>
    <row r="841" spans="8:9" ht="13.2">
      <c r="H841" s="9"/>
      <c r="I841" s="9"/>
    </row>
    <row r="842" spans="8:9" ht="13.2">
      <c r="H842" s="9"/>
      <c r="I842" s="9"/>
    </row>
    <row r="843" spans="8:9" ht="13.2">
      <c r="H843" s="9"/>
      <c r="I843" s="9"/>
    </row>
    <row r="844" spans="8:9" ht="13.2">
      <c r="H844" s="9"/>
      <c r="I844" s="9"/>
    </row>
    <row r="845" spans="8:9" ht="13.2">
      <c r="H845" s="9"/>
      <c r="I845" s="9"/>
    </row>
    <row r="846" spans="8:9" ht="13.2">
      <c r="H846" s="9"/>
      <c r="I846" s="9"/>
    </row>
    <row r="847" spans="8:9" ht="13.2">
      <c r="H847" s="9"/>
      <c r="I847" s="9"/>
    </row>
    <row r="848" spans="8:9" ht="13.2">
      <c r="H848" s="9"/>
      <c r="I848" s="9"/>
    </row>
    <row r="849" spans="8:9" ht="13.2">
      <c r="H849" s="9"/>
      <c r="I849" s="9"/>
    </row>
    <row r="850" spans="8:9" ht="13.2">
      <c r="H850" s="9"/>
      <c r="I850" s="9"/>
    </row>
    <row r="851" spans="8:9" ht="13.2">
      <c r="H851" s="9"/>
      <c r="I851" s="9"/>
    </row>
    <row r="852" spans="8:9" ht="13.2">
      <c r="H852" s="9"/>
      <c r="I852" s="9"/>
    </row>
    <row r="853" spans="8:9" ht="13.2">
      <c r="H853" s="9"/>
      <c r="I853" s="9"/>
    </row>
    <row r="854" spans="8:9" ht="13.2">
      <c r="H854" s="9"/>
      <c r="I854" s="9"/>
    </row>
    <row r="855" spans="8:9" ht="13.2">
      <c r="H855" s="9"/>
      <c r="I855" s="9"/>
    </row>
    <row r="856" spans="8:9" ht="13.2">
      <c r="H856" s="9"/>
      <c r="I856" s="9"/>
    </row>
    <row r="857" spans="8:9" ht="13.2">
      <c r="H857" s="9"/>
      <c r="I857" s="9"/>
    </row>
    <row r="858" spans="8:9" ht="13.2">
      <c r="H858" s="9"/>
      <c r="I858" s="9"/>
    </row>
    <row r="859" spans="8:9" ht="13.2">
      <c r="H859" s="9"/>
      <c r="I859" s="9"/>
    </row>
    <row r="860" spans="8:9" ht="13.2">
      <c r="H860" s="9"/>
      <c r="I860" s="9"/>
    </row>
    <row r="861" spans="8:9" ht="13.2">
      <c r="H861" s="9"/>
      <c r="I861" s="9"/>
    </row>
    <row r="862" spans="8:9" ht="13.2">
      <c r="H862" s="9"/>
      <c r="I862" s="9"/>
    </row>
    <row r="863" spans="8:9" ht="13.2">
      <c r="H863" s="9"/>
      <c r="I863" s="9"/>
    </row>
    <row r="864" spans="8:9" ht="13.2">
      <c r="H864" s="9"/>
      <c r="I864" s="9"/>
    </row>
    <row r="865" spans="8:9" ht="13.2">
      <c r="H865" s="9"/>
      <c r="I865" s="9"/>
    </row>
    <row r="866" spans="8:9" ht="13.2">
      <c r="H866" s="9"/>
      <c r="I866" s="9"/>
    </row>
    <row r="867" spans="8:9" ht="13.2">
      <c r="H867" s="9"/>
      <c r="I867" s="9"/>
    </row>
    <row r="868" spans="8:9" ht="13.2">
      <c r="H868" s="9"/>
      <c r="I868" s="9"/>
    </row>
    <row r="869" spans="8:9" ht="13.2">
      <c r="H869" s="9"/>
      <c r="I869" s="9"/>
    </row>
    <row r="870" spans="8:9" ht="13.2">
      <c r="H870" s="9"/>
      <c r="I870" s="9"/>
    </row>
    <row r="871" spans="8:9" ht="13.2">
      <c r="H871" s="9"/>
      <c r="I871" s="9"/>
    </row>
    <row r="872" spans="8:9" ht="13.2">
      <c r="H872" s="9"/>
      <c r="I872" s="9"/>
    </row>
    <row r="873" spans="8:9" ht="13.2">
      <c r="H873" s="9"/>
      <c r="I873" s="9"/>
    </row>
    <row r="874" spans="8:9" ht="13.2">
      <c r="H874" s="9"/>
      <c r="I874" s="9"/>
    </row>
    <row r="875" spans="8:9" ht="13.2">
      <c r="H875" s="9"/>
      <c r="I875" s="9"/>
    </row>
    <row r="876" spans="8:9" ht="13.2">
      <c r="H876" s="9"/>
      <c r="I876" s="9"/>
    </row>
    <row r="877" spans="8:9" ht="13.2">
      <c r="H877" s="9"/>
      <c r="I877" s="9"/>
    </row>
    <row r="878" spans="8:9" ht="13.2">
      <c r="H878" s="9"/>
      <c r="I878" s="9"/>
    </row>
    <row r="879" spans="8:9" ht="13.2">
      <c r="H879" s="9"/>
      <c r="I879" s="9"/>
    </row>
    <row r="880" spans="8:9" ht="13.2">
      <c r="H880" s="9"/>
      <c r="I880" s="9"/>
    </row>
    <row r="881" spans="8:9" ht="13.2">
      <c r="H881" s="9"/>
      <c r="I881" s="9"/>
    </row>
    <row r="882" spans="8:9" ht="13.2">
      <c r="H882" s="9"/>
      <c r="I882" s="9"/>
    </row>
    <row r="883" spans="8:9" ht="13.2">
      <c r="H883" s="9"/>
      <c r="I883" s="9"/>
    </row>
    <row r="884" spans="8:9" ht="13.2">
      <c r="H884" s="9"/>
      <c r="I884" s="9"/>
    </row>
    <row r="885" spans="8:9" ht="13.2">
      <c r="H885" s="9"/>
      <c r="I885" s="9"/>
    </row>
    <row r="886" spans="8:9" ht="13.2">
      <c r="H886" s="9"/>
      <c r="I886" s="9"/>
    </row>
    <row r="887" spans="8:9" ht="13.2">
      <c r="H887" s="9"/>
      <c r="I887" s="9"/>
    </row>
    <row r="888" spans="8:9" ht="13.2">
      <c r="H888" s="9"/>
      <c r="I888" s="9"/>
    </row>
    <row r="889" spans="8:9" ht="13.2">
      <c r="H889" s="9"/>
      <c r="I889" s="9"/>
    </row>
    <row r="890" spans="8:9" ht="13.2">
      <c r="H890" s="9"/>
      <c r="I890" s="9"/>
    </row>
    <row r="891" spans="8:9" ht="13.2">
      <c r="H891" s="9"/>
      <c r="I891" s="9"/>
    </row>
    <row r="892" spans="8:9" ht="13.2">
      <c r="H892" s="9"/>
      <c r="I892" s="9"/>
    </row>
    <row r="893" spans="8:9" ht="13.2">
      <c r="H893" s="9"/>
      <c r="I893" s="9"/>
    </row>
    <row r="894" spans="8:9" ht="13.2">
      <c r="H894" s="9"/>
      <c r="I894" s="9"/>
    </row>
    <row r="895" spans="8:9" ht="13.2">
      <c r="H895" s="9"/>
      <c r="I895" s="9"/>
    </row>
    <row r="896" spans="8:9" ht="13.2">
      <c r="H896" s="9"/>
      <c r="I896" s="9"/>
    </row>
    <row r="897" spans="8:9" ht="13.2">
      <c r="H897" s="9"/>
      <c r="I897" s="9"/>
    </row>
    <row r="898" spans="8:9" ht="13.2">
      <c r="H898" s="9"/>
      <c r="I898" s="9"/>
    </row>
    <row r="899" spans="8:9" ht="13.2">
      <c r="H899" s="9"/>
      <c r="I899" s="9"/>
    </row>
    <row r="900" spans="8:9" ht="13.2">
      <c r="H900" s="9"/>
      <c r="I900" s="9"/>
    </row>
    <row r="901" spans="8:9" ht="13.2">
      <c r="H901" s="9"/>
      <c r="I901" s="9"/>
    </row>
    <row r="902" spans="8:9" ht="13.2">
      <c r="H902" s="9"/>
      <c r="I902" s="9"/>
    </row>
    <row r="903" spans="8:9" ht="13.2">
      <c r="H903" s="9"/>
      <c r="I903" s="9"/>
    </row>
    <row r="904" spans="8:9" ht="13.2">
      <c r="H904" s="9"/>
      <c r="I904" s="9"/>
    </row>
    <row r="905" spans="8:9" ht="13.2">
      <c r="H905" s="9"/>
      <c r="I905" s="9"/>
    </row>
    <row r="906" spans="8:9" ht="13.2">
      <c r="H906" s="9"/>
      <c r="I906" s="9"/>
    </row>
    <row r="907" spans="8:9" ht="13.2">
      <c r="H907" s="9"/>
      <c r="I907" s="9"/>
    </row>
    <row r="908" spans="8:9" ht="13.2">
      <c r="H908" s="9"/>
      <c r="I908" s="9"/>
    </row>
    <row r="909" spans="8:9" ht="13.2">
      <c r="H909" s="9"/>
      <c r="I909" s="9"/>
    </row>
    <row r="910" spans="8:9" ht="13.2">
      <c r="H910" s="9"/>
      <c r="I910" s="9"/>
    </row>
    <row r="911" spans="8:9" ht="13.2">
      <c r="H911" s="9"/>
      <c r="I911" s="9"/>
    </row>
    <row r="912" spans="8:9" ht="13.2">
      <c r="H912" s="9"/>
      <c r="I912" s="9"/>
    </row>
    <row r="913" spans="8:9" ht="13.2">
      <c r="H913" s="9"/>
      <c r="I913" s="9"/>
    </row>
    <row r="914" spans="8:9" ht="13.2">
      <c r="H914" s="9"/>
      <c r="I914" s="9"/>
    </row>
    <row r="915" spans="8:9" ht="13.2">
      <c r="H915" s="9"/>
      <c r="I915" s="9"/>
    </row>
    <row r="916" spans="8:9" ht="13.2">
      <c r="H916" s="9"/>
      <c r="I916" s="9"/>
    </row>
    <row r="917" spans="8:9" ht="13.2">
      <c r="H917" s="9"/>
      <c r="I917" s="9"/>
    </row>
    <row r="918" spans="8:9" ht="13.2">
      <c r="H918" s="9"/>
      <c r="I918" s="9"/>
    </row>
    <row r="919" spans="8:9" ht="13.2">
      <c r="H919" s="9"/>
      <c r="I919" s="9"/>
    </row>
    <row r="920" spans="8:9" ht="13.2">
      <c r="H920" s="9"/>
      <c r="I920" s="9"/>
    </row>
    <row r="921" spans="8:9" ht="13.2">
      <c r="H921" s="9"/>
      <c r="I921" s="9"/>
    </row>
    <row r="922" spans="8:9" ht="13.2">
      <c r="H922" s="9"/>
      <c r="I922" s="9"/>
    </row>
    <row r="923" spans="8:9" ht="13.2">
      <c r="H923" s="9"/>
      <c r="I923" s="9"/>
    </row>
    <row r="924" spans="8:9" ht="13.2">
      <c r="H924" s="9"/>
      <c r="I924" s="9"/>
    </row>
    <row r="925" spans="8:9" ht="13.2">
      <c r="H925" s="9"/>
      <c r="I925" s="9"/>
    </row>
    <row r="926" spans="8:9" ht="13.2">
      <c r="H926" s="9"/>
      <c r="I926" s="9"/>
    </row>
    <row r="927" spans="8:9" ht="13.2">
      <c r="H927" s="9"/>
      <c r="I927" s="9"/>
    </row>
    <row r="928" spans="8:9" ht="13.2">
      <c r="H928" s="9"/>
      <c r="I928" s="9"/>
    </row>
    <row r="929" spans="8:9" ht="13.2">
      <c r="H929" s="9"/>
      <c r="I929" s="9"/>
    </row>
    <row r="930" spans="8:9" ht="13.2">
      <c r="H930" s="9"/>
      <c r="I930" s="9"/>
    </row>
    <row r="931" spans="8:9" ht="13.2">
      <c r="H931" s="9"/>
      <c r="I931" s="9"/>
    </row>
    <row r="932" spans="8:9" ht="13.2">
      <c r="H932" s="9"/>
      <c r="I932" s="9"/>
    </row>
    <row r="933" spans="8:9" ht="13.2">
      <c r="H933" s="9"/>
      <c r="I933" s="9"/>
    </row>
    <row r="934" spans="8:9" ht="13.2">
      <c r="H934" s="9"/>
      <c r="I934" s="9"/>
    </row>
    <row r="935" spans="8:9" ht="13.2">
      <c r="H935" s="9"/>
      <c r="I935" s="9"/>
    </row>
    <row r="936" spans="8:9" ht="13.2">
      <c r="H936" s="9"/>
      <c r="I936" s="9"/>
    </row>
    <row r="937" spans="8:9" ht="13.2">
      <c r="H937" s="9"/>
      <c r="I937" s="9"/>
    </row>
    <row r="938" spans="8:9" ht="13.2">
      <c r="H938" s="9"/>
      <c r="I938" s="9"/>
    </row>
    <row r="939" spans="8:9" ht="13.2">
      <c r="H939" s="9"/>
      <c r="I939" s="9"/>
    </row>
    <row r="940" spans="8:9" ht="13.2">
      <c r="H940" s="9"/>
      <c r="I940" s="9"/>
    </row>
    <row r="941" spans="8:9" ht="13.2">
      <c r="H941" s="9"/>
      <c r="I941" s="9"/>
    </row>
    <row r="942" spans="8:9" ht="13.2">
      <c r="H942" s="9"/>
      <c r="I942" s="9"/>
    </row>
    <row r="943" spans="8:9" ht="13.2">
      <c r="H943" s="9"/>
      <c r="I943" s="9"/>
    </row>
    <row r="944" spans="8:9" ht="13.2">
      <c r="H944" s="9"/>
      <c r="I944" s="9"/>
    </row>
    <row r="945" spans="8:9" ht="13.2">
      <c r="H945" s="9"/>
      <c r="I945" s="9"/>
    </row>
    <row r="946" spans="8:9" ht="13.2">
      <c r="H946" s="9"/>
      <c r="I946" s="9"/>
    </row>
    <row r="947" spans="8:9" ht="13.2">
      <c r="H947" s="9"/>
      <c r="I947" s="9"/>
    </row>
    <row r="948" spans="8:9" ht="13.2">
      <c r="H948" s="9"/>
      <c r="I948" s="9"/>
    </row>
    <row r="949" spans="8:9" ht="13.2">
      <c r="H949" s="9"/>
      <c r="I949" s="9"/>
    </row>
    <row r="950" spans="8:9" ht="13.2">
      <c r="H950" s="9"/>
      <c r="I950" s="9"/>
    </row>
    <row r="951" spans="8:9" ht="13.2">
      <c r="H951" s="9"/>
      <c r="I951" s="9"/>
    </row>
    <row r="952" spans="8:9" ht="13.2">
      <c r="H952" s="9"/>
      <c r="I952" s="9"/>
    </row>
    <row r="953" spans="8:9" ht="13.2">
      <c r="H953" s="9"/>
      <c r="I953" s="9"/>
    </row>
    <row r="954" spans="8:9" ht="13.2">
      <c r="H954" s="9"/>
      <c r="I954" s="9"/>
    </row>
    <row r="955" spans="8:9" ht="13.2">
      <c r="H955" s="9"/>
      <c r="I955" s="9"/>
    </row>
    <row r="956" spans="8:9" ht="13.2">
      <c r="H956" s="9"/>
      <c r="I956" s="9"/>
    </row>
    <row r="957" spans="8:9" ht="13.2">
      <c r="H957" s="9"/>
      <c r="I957" s="9"/>
    </row>
    <row r="958" spans="8:9" ht="13.2">
      <c r="H958" s="9"/>
      <c r="I958" s="9"/>
    </row>
    <row r="959" spans="8:9" ht="13.2">
      <c r="H959" s="9"/>
      <c r="I959" s="9"/>
    </row>
    <row r="960" spans="8:9" ht="13.2">
      <c r="H960" s="9"/>
      <c r="I960" s="9"/>
    </row>
    <row r="961" spans="8:9" ht="13.2">
      <c r="H961" s="9"/>
      <c r="I961" s="9"/>
    </row>
    <row r="962" spans="8:9" ht="13.2">
      <c r="H962" s="9"/>
      <c r="I962" s="9"/>
    </row>
    <row r="963" spans="8:9" ht="13.2">
      <c r="H963" s="9"/>
      <c r="I963" s="9"/>
    </row>
    <row r="964" spans="8:9" ht="13.2">
      <c r="H964" s="9"/>
      <c r="I964" s="9"/>
    </row>
    <row r="965" spans="8:9" ht="13.2">
      <c r="H965" s="9"/>
      <c r="I965" s="9"/>
    </row>
    <row r="966" spans="8:9" ht="13.2">
      <c r="H966" s="9"/>
      <c r="I966" s="9"/>
    </row>
    <row r="967" spans="8:9" ht="13.2">
      <c r="H967" s="9"/>
      <c r="I967" s="9"/>
    </row>
    <row r="968" spans="8:9" ht="13.2">
      <c r="H968" s="9"/>
      <c r="I968" s="9"/>
    </row>
    <row r="969" spans="8:9" ht="13.2">
      <c r="H969" s="9"/>
      <c r="I969" s="9"/>
    </row>
    <row r="970" spans="8:9" ht="13.2">
      <c r="H970" s="9"/>
      <c r="I970" s="9"/>
    </row>
    <row r="971" spans="8:9" ht="13.2">
      <c r="H971" s="9"/>
      <c r="I971" s="9"/>
    </row>
    <row r="972" spans="8:9" ht="13.2">
      <c r="H972" s="9"/>
      <c r="I972" s="9"/>
    </row>
    <row r="973" spans="8:9" ht="13.2">
      <c r="H973" s="9"/>
      <c r="I973" s="9"/>
    </row>
    <row r="974" spans="8:9" ht="13.2">
      <c r="H974" s="9"/>
      <c r="I974" s="9"/>
    </row>
    <row r="975" spans="8:9" ht="13.2">
      <c r="H975" s="9"/>
      <c r="I975" s="9"/>
    </row>
    <row r="976" spans="8:9" ht="13.2">
      <c r="H976" s="9"/>
      <c r="I976" s="9"/>
    </row>
    <row r="977" spans="8:9" ht="13.2">
      <c r="H977" s="9"/>
      <c r="I977" s="9"/>
    </row>
    <row r="978" spans="8:9" ht="13.2">
      <c r="H978" s="9"/>
      <c r="I978" s="9"/>
    </row>
    <row r="979" spans="8:9" ht="13.2">
      <c r="H979" s="9"/>
      <c r="I979" s="9"/>
    </row>
    <row r="980" spans="8:9" ht="13.2">
      <c r="H980" s="9"/>
      <c r="I980" s="9"/>
    </row>
    <row r="981" spans="8:9" ht="13.2">
      <c r="H981" s="9"/>
      <c r="I981" s="9"/>
    </row>
    <row r="982" spans="8:9" ht="13.2">
      <c r="H982" s="9"/>
      <c r="I982" s="9"/>
    </row>
    <row r="983" spans="8:9" ht="13.2">
      <c r="H983" s="9"/>
      <c r="I983" s="9"/>
    </row>
    <row r="984" spans="8:9" ht="13.2">
      <c r="H984" s="9"/>
      <c r="I984" s="9"/>
    </row>
    <row r="985" spans="8:9" ht="13.2">
      <c r="H985" s="9"/>
      <c r="I985" s="9"/>
    </row>
    <row r="986" spans="8:9" ht="13.2">
      <c r="H986" s="9"/>
      <c r="I986" s="9"/>
    </row>
    <row r="987" spans="8:9" ht="13.2">
      <c r="H987" s="9"/>
      <c r="I987" s="9"/>
    </row>
    <row r="988" spans="8:9" ht="13.2">
      <c r="H988" s="9"/>
      <c r="I988" s="9"/>
    </row>
    <row r="989" spans="8:9" ht="13.2">
      <c r="H989" s="9"/>
      <c r="I989" s="9"/>
    </row>
    <row r="990" spans="8:9" ht="13.2">
      <c r="H990" s="9"/>
      <c r="I990" s="9"/>
    </row>
    <row r="991" spans="8:9" ht="13.2">
      <c r="H991" s="9"/>
      <c r="I991" s="9"/>
    </row>
    <row r="992" spans="8:9" ht="13.2">
      <c r="H992" s="9"/>
      <c r="I992" s="9"/>
    </row>
    <row r="993" spans="8:9" ht="13.2">
      <c r="H993" s="9"/>
      <c r="I993" s="9"/>
    </row>
    <row r="994" spans="8:9" ht="13.2">
      <c r="H994" s="9"/>
      <c r="I994" s="9"/>
    </row>
    <row r="995" spans="8:9" ht="13.2">
      <c r="H995" s="9"/>
      <c r="I995" s="9"/>
    </row>
    <row r="996" spans="8:9" ht="13.2">
      <c r="H996" s="9"/>
      <c r="I996" s="9"/>
    </row>
    <row r="997" spans="8:9" ht="13.2">
      <c r="H997" s="9"/>
      <c r="I997" s="9"/>
    </row>
    <row r="998" spans="8:9" ht="13.2">
      <c r="H998" s="9"/>
      <c r="I998" s="9"/>
    </row>
    <row r="999" spans="8:9" ht="13.2">
      <c r="H999" s="9"/>
      <c r="I999" s="9"/>
    </row>
    <row r="1000" spans="8:9" ht="13.2">
      <c r="H1000" s="9"/>
      <c r="I1000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6">
    <outlinePr summaryBelow="0" summaryRight="0"/>
  </sheetPr>
  <dimension ref="A1:I31"/>
  <sheetViews>
    <sheetView topLeftCell="A16" workbookViewId="0">
      <selection activeCell="C44" sqref="C44"/>
    </sheetView>
  </sheetViews>
  <sheetFormatPr defaultColWidth="12.6640625" defaultRowHeight="15.75" customHeight="1"/>
  <cols>
    <col min="1" max="1" width="58" customWidth="1"/>
    <col min="2" max="2" width="16.6640625" customWidth="1"/>
    <col min="3" max="3" width="15.109375" customWidth="1"/>
    <col min="4" max="5" width="15.6640625" customWidth="1"/>
  </cols>
  <sheetData>
    <row r="1" spans="1:9" ht="13.2">
      <c r="B1" s="7"/>
      <c r="C1" s="7"/>
      <c r="D1" s="7"/>
      <c r="E1" s="7"/>
      <c r="F1" s="7"/>
    </row>
    <row r="2" spans="1:9" ht="15.75" customHeight="1">
      <c r="A2" s="40" t="s">
        <v>84</v>
      </c>
      <c r="B2" s="7" t="s">
        <v>85</v>
      </c>
      <c r="C2" s="7" t="s">
        <v>86</v>
      </c>
      <c r="D2" s="7"/>
      <c r="E2" s="7" t="s">
        <v>87</v>
      </c>
      <c r="F2" s="7" t="s">
        <v>88</v>
      </c>
      <c r="H2" s="7" t="s">
        <v>89</v>
      </c>
      <c r="I2" s="7">
        <v>10.9</v>
      </c>
    </row>
    <row r="3" spans="1:9" ht="13.2">
      <c r="B3" s="41">
        <v>1.2E-2</v>
      </c>
      <c r="C3" s="49">
        <v>2.7199999999999998E-2</v>
      </c>
      <c r="D3" s="41"/>
      <c r="E3" s="49">
        <v>4.7199999999999999E-2</v>
      </c>
      <c r="F3" s="49">
        <v>7.1999999999999998E-3</v>
      </c>
      <c r="H3" s="7" t="s">
        <v>90</v>
      </c>
      <c r="I3" s="6">
        <f>I2-3.56</f>
        <v>7.34</v>
      </c>
    </row>
    <row r="4" spans="1:9" ht="13.2">
      <c r="A4" s="1" t="s">
        <v>91</v>
      </c>
      <c r="B4" s="11">
        <f t="shared" ref="B4:C4" si="0">4.3%</f>
        <v>4.2999999999999997E-2</v>
      </c>
      <c r="C4" s="11">
        <f t="shared" si="0"/>
        <v>4.2999999999999997E-2</v>
      </c>
      <c r="D4" s="11"/>
      <c r="E4" s="11">
        <f t="shared" ref="E4:F4" si="1">4.3%</f>
        <v>4.2999999999999997E-2</v>
      </c>
      <c r="F4" s="11">
        <f t="shared" si="1"/>
        <v>4.2999999999999997E-2</v>
      </c>
    </row>
    <row r="5" spans="1:9" ht="13.2">
      <c r="A5" s="1" t="s">
        <v>60</v>
      </c>
      <c r="B5" s="11">
        <f>-0.5% - ('Advies 2023'!$B$56-B3*54%)</f>
        <v>2.8642600000000001E-2</v>
      </c>
      <c r="C5" s="11">
        <f>-0.5% - ('Advies 2023'!$B$56-C3*54%)</f>
        <v>3.6850600000000004E-2</v>
      </c>
      <c r="D5" s="11"/>
      <c r="E5" s="11">
        <f>-0.5% - ('Advies 2023'!$B$56-E3*54%)</f>
        <v>4.7650600000000001E-2</v>
      </c>
      <c r="F5" s="11">
        <f>-0.5% - ('Advies 2023'!$B$56-F3*54%)</f>
        <v>2.6050599999999997E-2</v>
      </c>
    </row>
    <row r="6" spans="1:9" ht="13.2">
      <c r="A6" s="1" t="s">
        <v>153</v>
      </c>
      <c r="B6" s="10">
        <f>-1*'Advies 2023'!L2</f>
        <v>9.1436008695652549E-3</v>
      </c>
      <c r="C6" s="10">
        <f>-1*'Advies 2023'!L3</f>
        <v>1.4180122608695717E-2</v>
      </c>
      <c r="D6" s="10"/>
      <c r="E6" s="10">
        <f>-1*'Advies 2023'!L5</f>
        <v>2.7505919710144867E-2</v>
      </c>
      <c r="F6" s="10">
        <f>-1*'Advies 2023'!L6</f>
        <v>6.5204124637682007E-3</v>
      </c>
    </row>
    <row r="7" spans="1:9" ht="13.2">
      <c r="A7" s="1" t="s">
        <v>92</v>
      </c>
      <c r="B7" s="10">
        <f>-1*'Advies 2023'!L14</f>
        <v>7.8879486956522169E-3</v>
      </c>
      <c r="C7" s="10">
        <f>-1*'Advies 2023'!L15</f>
        <v>1.3453166086956594E-2</v>
      </c>
      <c r="D7" s="10"/>
      <c r="E7" s="10">
        <f>-1*'Advies 2023'!L17</f>
        <v>2.8177803768115874E-2</v>
      </c>
      <c r="F7" s="10">
        <f>-1*'Advies 2023'!L18</f>
        <v>4.9893979710145878E-3</v>
      </c>
    </row>
    <row r="9" spans="1:9" ht="15.75" customHeight="1">
      <c r="A9" s="42" t="s">
        <v>93</v>
      </c>
    </row>
    <row r="10" spans="1:9" ht="13.2">
      <c r="A10" s="7" t="s">
        <v>94</v>
      </c>
      <c r="B10" s="7" t="s">
        <v>85</v>
      </c>
      <c r="C10" s="7" t="s">
        <v>86</v>
      </c>
      <c r="D10" s="7"/>
      <c r="E10" s="7" t="s">
        <v>87</v>
      </c>
      <c r="F10" s="7" t="s">
        <v>88</v>
      </c>
      <c r="I10" s="68">
        <f>('Advies 2023'!$B$56-B3*54%)</f>
        <v>-3.3642600000000002E-2</v>
      </c>
    </row>
    <row r="11" spans="1:9" ht="13.2">
      <c r="A11" s="43" t="s">
        <v>95</v>
      </c>
      <c r="B11" s="41">
        <v>1.2E-2</v>
      </c>
      <c r="C11" s="49">
        <v>2.7199999999999998E-2</v>
      </c>
      <c r="D11" s="41"/>
      <c r="E11" s="49">
        <v>4.7199999999999999E-2</v>
      </c>
      <c r="F11" s="49">
        <v>7.1999999999999998E-3</v>
      </c>
    </row>
    <row r="12" spans="1:9" ht="13.2">
      <c r="A12" s="1" t="s">
        <v>91</v>
      </c>
      <c r="B12" s="31">
        <f>B4 * 'Advies 2023'!$B$53</f>
        <v>46.320787763071429</v>
      </c>
      <c r="C12" s="31">
        <f>C4 * 'Advies 2023'!$B$53</f>
        <v>46.320787763071429</v>
      </c>
      <c r="D12" s="31"/>
      <c r="E12" s="31">
        <f>E4 * 'Advies 2023'!$B$53</f>
        <v>46.320787763071429</v>
      </c>
      <c r="F12" s="31">
        <f>F4 * 'Advies 2023'!$B$53</f>
        <v>46.320787763071429</v>
      </c>
      <c r="I12" s="58"/>
    </row>
    <row r="13" spans="1:9" ht="13.2">
      <c r="A13" s="1" t="s">
        <v>60</v>
      </c>
      <c r="B13" s="31">
        <f>B5 * 'Advies 2023'!$B$53</f>
        <v>30.854599897268599</v>
      </c>
      <c r="C13" s="31">
        <f>C5 * 'Advies 2023'!$B$53</f>
        <v>39.696484221903262</v>
      </c>
      <c r="D13" s="31"/>
      <c r="E13" s="31">
        <f>E5 * 'Advies 2023'!$B$53</f>
        <v>51.330542543790969</v>
      </c>
      <c r="F13" s="31">
        <f>F5 * 'Advies 2023'!$B$53</f>
        <v>28.062425900015544</v>
      </c>
    </row>
    <row r="14" spans="1:9" ht="13.2">
      <c r="A14" s="1" t="s">
        <v>153</v>
      </c>
      <c r="B14" s="31">
        <f>B6 * 'Advies 2023'!$B$53</f>
        <v>9.8497394248690124</v>
      </c>
      <c r="C14" s="31">
        <f>C6 * 'Advies 2023'!$B$53</f>
        <v>15.275219763063374</v>
      </c>
      <c r="D14" s="31"/>
      <c r="E14" s="31">
        <f>E6 * 'Advies 2023'!$B$53</f>
        <v>29.630136491202411</v>
      </c>
      <c r="F14" s="31">
        <f>F6 * 'Advies 2023'!$B$53</f>
        <v>7.023968415392849</v>
      </c>
    </row>
    <row r="15" spans="1:9" ht="13.2">
      <c r="A15" s="1" t="s">
        <v>92</v>
      </c>
      <c r="B15" s="31">
        <f>B7 * 'Advies 2023'!$B$53</f>
        <v>8.4971162190070331</v>
      </c>
      <c r="C15" s="31">
        <f>C7 * 'Advies 2023'!$B$53</f>
        <v>14.492122117564339</v>
      </c>
      <c r="D15" s="31"/>
      <c r="E15" s="31">
        <f>E7 * 'Advies 2023'!$B$53</f>
        <v>30.353908557496972</v>
      </c>
      <c r="F15" s="31">
        <f>F7 * 'Advies 2023'!$B$53</f>
        <v>5.3747173135085102</v>
      </c>
    </row>
    <row r="17" spans="1:6" ht="15.75" customHeight="1">
      <c r="A17" s="42" t="s">
        <v>96</v>
      </c>
    </row>
    <row r="18" spans="1:6" ht="13.2">
      <c r="A18" s="7" t="s">
        <v>97</v>
      </c>
      <c r="B18" s="7" t="s">
        <v>85</v>
      </c>
      <c r="C18" s="7" t="s">
        <v>86</v>
      </c>
      <c r="D18" s="7"/>
      <c r="E18" s="7" t="s">
        <v>87</v>
      </c>
      <c r="F18" s="7" t="s">
        <v>88</v>
      </c>
    </row>
    <row r="19" spans="1:6" ht="13.2">
      <c r="A19" s="43"/>
      <c r="B19" s="41">
        <v>1.2E-2</v>
      </c>
      <c r="C19" s="49">
        <v>2.7199999999999998E-2</v>
      </c>
      <c r="D19" s="41"/>
      <c r="E19" s="49">
        <v>4.7199999999999999E-2</v>
      </c>
      <c r="F19" s="49">
        <v>7.1999999999999998E-3</v>
      </c>
    </row>
    <row r="20" spans="1:6" ht="13.2">
      <c r="A20" s="1" t="s">
        <v>91</v>
      </c>
      <c r="B20" s="31">
        <f>(((B4) * 'Advies 2023'!$B$53) - $I$3) / 2</f>
        <v>19.490393881535717</v>
      </c>
      <c r="C20" s="31">
        <f>(((C4) * 'Advies 2023'!$B$53) - $I$3) / 2</f>
        <v>19.490393881535717</v>
      </c>
      <c r="D20" s="31"/>
      <c r="E20" s="31">
        <f>(((E4) * 'Advies 2023'!$B$53) - $I$3) / 2</f>
        <v>19.490393881535717</v>
      </c>
      <c r="F20" s="31">
        <f>(((F4) * 'Advies 2023'!$B$53) - $I$3) / 2</f>
        <v>19.490393881535717</v>
      </c>
    </row>
    <row r="21" spans="1:6" ht="13.2">
      <c r="A21" s="1" t="s">
        <v>60</v>
      </c>
      <c r="B21" s="31">
        <f>(((B5) * 'Advies 2023'!$B$53) - $I$3) / 2</f>
        <v>11.7572999486343</v>
      </c>
      <c r="C21" s="31">
        <f>(((C5) * 'Advies 2023'!$B$53) - $I$3) / 2</f>
        <v>16.178242110951629</v>
      </c>
      <c r="D21" s="31"/>
      <c r="E21" s="31">
        <f>(((E5) * 'Advies 2023'!$B$53) - $I$3) / 2</f>
        <v>21.995271271895483</v>
      </c>
      <c r="F21" s="31">
        <f>(((F5) * 'Advies 2023'!$B$53) - $I$3) / 2</f>
        <v>10.361212950007772</v>
      </c>
    </row>
    <row r="22" spans="1:6" ht="13.2">
      <c r="A22" s="1" t="s">
        <v>153</v>
      </c>
      <c r="B22" s="31">
        <f>(((B6) * 'Advies 2023'!$B$53) - $I$3) / 2</f>
        <v>1.2548697124345063</v>
      </c>
      <c r="C22" s="31">
        <f>(((C6) * 'Advies 2023'!$B$53) - $I$3) / 2</f>
        <v>3.9676098815316871</v>
      </c>
      <c r="D22" s="31"/>
      <c r="E22" s="31">
        <f>(((E6) * 'Advies 2023'!$B$53) - $I$3) / 2</f>
        <v>11.145068245601205</v>
      </c>
      <c r="F22" s="31">
        <f>(((F6) * 'Advies 2023'!$B$53) - $I$3) / 2</f>
        <v>-0.15801579230357543</v>
      </c>
    </row>
    <row r="23" spans="1:6" ht="13.2">
      <c r="A23" s="1" t="s">
        <v>92</v>
      </c>
      <c r="B23" s="31">
        <f>(((B7) * 'Advies 2023'!$B$53) - $I$3) / 2</f>
        <v>0.5785581095035166</v>
      </c>
      <c r="C23" s="31">
        <f>(((C7) * 'Advies 2023'!$B$53) - $I$3) / 2</f>
        <v>3.5760610587821695</v>
      </c>
      <c r="D23" s="31"/>
      <c r="E23" s="31">
        <f>(((E7) * 'Advies 2023'!$B$53) - $I$3) / 2</f>
        <v>11.506954278748486</v>
      </c>
      <c r="F23" s="31">
        <f>(((F7) * 'Advies 2023'!$B$53) - $I$3) / 2</f>
        <v>-0.98264134324574481</v>
      </c>
    </row>
    <row r="24" spans="1:6" ht="13.2">
      <c r="A24" s="1"/>
      <c r="B24" s="31"/>
      <c r="C24" s="31"/>
      <c r="D24" s="31"/>
      <c r="E24" s="31"/>
      <c r="F24" s="31"/>
    </row>
    <row r="25" spans="1:6" ht="15.75" customHeight="1">
      <c r="A25" s="42" t="s">
        <v>98</v>
      </c>
    </row>
    <row r="26" spans="1:6" ht="13.2">
      <c r="A26" s="7" t="s">
        <v>99</v>
      </c>
      <c r="B26" s="7" t="s">
        <v>85</v>
      </c>
      <c r="C26" s="7" t="s">
        <v>86</v>
      </c>
      <c r="D26" s="7"/>
      <c r="E26" s="7" t="s">
        <v>87</v>
      </c>
      <c r="F26" s="7" t="s">
        <v>88</v>
      </c>
    </row>
    <row r="27" spans="1:6" ht="13.2">
      <c r="A27" s="43"/>
      <c r="B27" s="41">
        <v>1.2E-2</v>
      </c>
      <c r="C27" s="49">
        <v>2.7199999999999998E-2</v>
      </c>
      <c r="D27" s="41"/>
      <c r="E27" s="49">
        <v>4.7199999999999999E-2</v>
      </c>
      <c r="F27" s="49">
        <v>7.1999999999999998E-3</v>
      </c>
    </row>
    <row r="28" spans="1:6" ht="13.2">
      <c r="A28" s="1" t="s">
        <v>91</v>
      </c>
      <c r="B28" s="31">
        <f>(((B4) * 'Advies 2023'!$B$53) - $I$2) / 2</f>
        <v>17.710393881535715</v>
      </c>
      <c r="C28" s="31">
        <f>(((C4) * 'Advies 2023'!$B$53) - $I$2) / 2</f>
        <v>17.710393881535715</v>
      </c>
      <c r="D28" s="31"/>
      <c r="E28" s="31">
        <f>(((E4)* 'Advies 2023'!$B$53) - $I$2) / 2</f>
        <v>17.710393881535715</v>
      </c>
      <c r="F28" s="31">
        <f>(((F4) * 'Advies 2023'!$B$53) - $I$2) / 2</f>
        <v>17.710393881535715</v>
      </c>
    </row>
    <row r="29" spans="1:6" ht="13.2">
      <c r="A29" s="1" t="s">
        <v>60</v>
      </c>
      <c r="B29" s="31">
        <f>(((B5) * 'Advies 2023'!$B$53) - $I$2) / 2</f>
        <v>9.9772999486343004</v>
      </c>
      <c r="C29" s="31">
        <f>(((C5) * 'Advies 2023'!$B$53) - $I$2) / 2</f>
        <v>14.398242110951632</v>
      </c>
      <c r="D29" s="31"/>
      <c r="E29" s="31">
        <f>(((E5)*'Advies 2023'!$B$53)-$I$2)/2</f>
        <v>20.215271271895485</v>
      </c>
      <c r="F29" s="31">
        <f>(((F5) * 'Advies 2023'!$B$53) - $I$2) / 2</f>
        <v>8.581212950007771</v>
      </c>
    </row>
    <row r="30" spans="1:6" ht="13.2">
      <c r="A30" s="1" t="s">
        <v>153</v>
      </c>
      <c r="B30" s="31">
        <f>(((B6) * 'Advies 2023'!$B$53) - $I$2) / 2</f>
        <v>-0.52513028756549396</v>
      </c>
      <c r="C30" s="31">
        <f>(((C6) * 'Advies 2023'!$B$53) - $I$2) / 2</f>
        <v>2.1876098815316869</v>
      </c>
      <c r="D30" s="31"/>
      <c r="E30" s="31">
        <f>(((E6) * 'Advies 2023'!$B$53) - $I$2) / 2</f>
        <v>9.3650682456012042</v>
      </c>
      <c r="F30" s="31">
        <f>(((F6) * 'Advies 2023'!$B$53) - $I$2) / 2</f>
        <v>-1.9380157923035757</v>
      </c>
    </row>
    <row r="31" spans="1:6" ht="13.2">
      <c r="A31" s="1" t="s">
        <v>92</v>
      </c>
      <c r="B31" s="31">
        <f>(((B7) * 'Advies 2023'!$B$53) - $I$2) / 2</f>
        <v>-1.2014418904964836</v>
      </c>
      <c r="C31" s="31">
        <f>(((C7) * 'Advies 2023'!$B$53) - $I$2) / 2</f>
        <v>1.7960610587821693</v>
      </c>
      <c r="D31" s="31"/>
      <c r="E31" s="31">
        <f>(((E7) * 'Advies 2023'!$B$53) - $I$2) / 2</f>
        <v>9.7269542787484866</v>
      </c>
      <c r="F31" s="31">
        <f>(((F7) * 'Advies 2023'!$B$53) - $I$2) / 2</f>
        <v>-2.7626413432457451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1F3D-519F-462B-B21B-8DB5AC2476A8}">
  <sheetPr codeName="Blad1"/>
  <dimension ref="B2:F8"/>
  <sheetViews>
    <sheetView workbookViewId="0">
      <selection activeCell="C9" sqref="C9"/>
    </sheetView>
  </sheetViews>
  <sheetFormatPr defaultRowHeight="13.2"/>
  <cols>
    <col min="2" max="2" width="29.6640625" customWidth="1"/>
    <col min="3" max="3" width="42.44140625" customWidth="1"/>
    <col min="5" max="5" width="25.88671875" bestFit="1" customWidth="1"/>
    <col min="6" max="6" width="27.5546875" bestFit="1" customWidth="1"/>
  </cols>
  <sheetData>
    <row r="2" spans="2:6" ht="13.8">
      <c r="B2" s="120" t="s">
        <v>175</v>
      </c>
      <c r="C2" s="121" t="s">
        <v>176</v>
      </c>
      <c r="D2" s="55"/>
      <c r="E2" s="121" t="s">
        <v>177</v>
      </c>
      <c r="F2" s="55" t="s">
        <v>178</v>
      </c>
    </row>
    <row r="3" spans="2:6" ht="17.399999999999999">
      <c r="B3" s="104" t="s">
        <v>179</v>
      </c>
      <c r="C3" s="105"/>
      <c r="D3" s="55"/>
      <c r="E3" s="122" t="s">
        <v>181</v>
      </c>
      <c r="F3" s="106" t="str">
        <f>IF(AND(C2&lt;&gt;"",C3&lt;&gt;"",C4&lt;&gt;"",C5&lt;&gt;"",C6&lt;&gt;"",C7&lt;&gt;"",C8&lt;&gt;""),KeuzesTool!R11,"Vul alle keuzes in")</f>
        <v>Vul alle keuzes in</v>
      </c>
    </row>
    <row r="4" spans="2:6" ht="17.399999999999999">
      <c r="B4" s="104" t="s">
        <v>182</v>
      </c>
      <c r="C4" s="105"/>
      <c r="D4" s="55"/>
      <c r="E4" s="140" t="s">
        <v>188</v>
      </c>
      <c r="F4" s="125" t="str">
        <f>IF(AND(C2&lt;&gt;"",C3&lt;&gt;"",C4&lt;&gt;"",C5&lt;&gt;"",C6&lt;&gt;"",C7&lt;&gt;"",C8&lt;&gt;""),KeuzesTool!T11,"Vul alle keuzes in")</f>
        <v>Vul alle keuzes in</v>
      </c>
    </row>
    <row r="5" spans="2:6" ht="17.399999999999999">
      <c r="B5" s="104" t="s">
        <v>184</v>
      </c>
      <c r="C5" s="119"/>
      <c r="D5" s="55"/>
      <c r="E5" s="122" t="s">
        <v>219</v>
      </c>
      <c r="F5" s="106" t="str">
        <f>IF(AND(C2&lt;&gt;"",C3&lt;&gt;"",C4&lt;&gt;"",C5&lt;&gt;"",C6&lt;&gt;"",C7&lt;&gt;"",C8&lt;&gt;""),KeuzesTool!Q11,"Vul alle keuzes in")</f>
        <v>Vul alle keuzes in</v>
      </c>
    </row>
    <row r="6" spans="2:6" ht="17.399999999999999">
      <c r="B6" s="104" t="s">
        <v>186</v>
      </c>
      <c r="C6" s="105"/>
      <c r="D6" s="55"/>
      <c r="E6" s="140" t="s">
        <v>234</v>
      </c>
      <c r="F6" s="125" t="str">
        <f>IF(AND(C2&lt;&gt;"",C3&lt;&gt;"",C4&lt;&gt;"",C5&lt;&gt;"",C6&lt;&gt;"",C7&lt;&gt;"",C8&lt;&gt;""),KeuzesTool!H11,"Vul alle keuzes in")</f>
        <v>Vul alle keuzes in</v>
      </c>
    </row>
    <row r="7" spans="2:6">
      <c r="B7" s="104" t="s">
        <v>189</v>
      </c>
      <c r="C7" s="116"/>
      <c r="D7" s="55"/>
    </row>
    <row r="8" spans="2:6">
      <c r="B8" s="104" t="s">
        <v>190</v>
      </c>
      <c r="C8" s="107"/>
      <c r="D8" s="55"/>
      <c r="F8" s="123" t="s">
        <v>226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6BBFC20-E81F-443B-B25C-55C177E628E3}">
          <x14:formula1>
            <xm:f>KeuzesTool!$B$2:$D$2</xm:f>
          </x14:formula1>
          <xm:sqref>C3</xm:sqref>
        </x14:dataValidation>
        <x14:dataValidation type="list" allowBlank="1" showInputMessage="1" showErrorMessage="1" xr:uid="{513D096A-A101-4F94-9C47-FE4206479709}">
          <x14:formula1>
            <xm:f>KeuzesTool!$B$3:$G$3</xm:f>
          </x14:formula1>
          <xm:sqref>C4</xm:sqref>
        </x14:dataValidation>
        <x14:dataValidation type="list" allowBlank="1" showInputMessage="1" showErrorMessage="1" xr:uid="{3DF8AAF8-71E5-4FB1-BD0E-55A35D50F933}">
          <x14:formula1>
            <xm:f>KeuzesTool!$B$4:$E$4</xm:f>
          </x14:formula1>
          <xm:sqref>C5</xm:sqref>
        </x14:dataValidation>
        <x14:dataValidation type="list" allowBlank="1" showInputMessage="1" showErrorMessage="1" xr:uid="{75BD3A72-207A-4456-B0A9-4FF8A99C9A7C}">
          <x14:formula1>
            <xm:f>KeuzesTool!$B$5:$C$5</xm:f>
          </x14:formula1>
          <xm:sqref>C6</xm:sqref>
        </x14:dataValidation>
        <x14:dataValidation type="list" allowBlank="1" showInputMessage="1" showErrorMessage="1" xr:uid="{A0AFC20E-BDBA-419D-AE1E-4FF16CE93612}">
          <x14:formula1>
            <xm:f>KeuzesTool!$B$6:$C$6</xm:f>
          </x14:formula1>
          <xm:sqref>C7</xm:sqref>
        </x14:dataValidation>
        <x14:dataValidation type="list" allowBlank="1" showInputMessage="1" showErrorMessage="1" xr:uid="{07B33210-C288-4EC5-9B97-7239A7EE9516}">
          <x14:formula1>
            <xm:f>KeuzesTool!$B$7:$D$7</xm:f>
          </x14:formula1>
          <xm:sqref>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EC8C-4FBE-4081-87A7-AEDA2F4DD307}">
  <sheetPr codeName="Blad2"/>
  <dimension ref="A1:T31"/>
  <sheetViews>
    <sheetView workbookViewId="0">
      <selection activeCell="E25" sqref="E25"/>
    </sheetView>
  </sheetViews>
  <sheetFormatPr defaultRowHeight="13.2"/>
  <cols>
    <col min="1" max="1" width="21.44140625" bestFit="1" customWidth="1"/>
    <col min="2" max="2" width="34.109375" bestFit="1" customWidth="1"/>
    <col min="3" max="3" width="23.44140625" bestFit="1" customWidth="1"/>
    <col min="4" max="4" width="19.109375" bestFit="1" customWidth="1"/>
    <col min="5" max="5" width="16.44140625" bestFit="1" customWidth="1"/>
    <col min="6" max="6" width="13.33203125" bestFit="1" customWidth="1"/>
    <col min="7" max="7" width="10.6640625" bestFit="1" customWidth="1"/>
    <col min="8" max="8" width="9.5546875" customWidth="1"/>
    <col min="9" max="9" width="17.6640625" bestFit="1" customWidth="1"/>
    <col min="10" max="11" width="21.109375" bestFit="1" customWidth="1"/>
    <col min="12" max="12" width="13.33203125" bestFit="1" customWidth="1"/>
    <col min="13" max="13" width="19.44140625" style="80" bestFit="1" customWidth="1"/>
    <col min="14" max="17" width="19.44140625" style="80" customWidth="1"/>
    <col min="18" max="18" width="14.6640625" bestFit="1" customWidth="1"/>
    <col min="19" max="19" width="14.6640625" style="80" customWidth="1"/>
    <col min="20" max="20" width="22.33203125" bestFit="1" customWidth="1"/>
  </cols>
  <sheetData>
    <row r="1" spans="1:20">
      <c r="A1" s="55" t="s">
        <v>191</v>
      </c>
      <c r="B1" s="55"/>
      <c r="C1" s="55"/>
      <c r="D1" s="55"/>
      <c r="E1" s="55"/>
      <c r="F1" s="55"/>
      <c r="G1" s="55"/>
      <c r="H1" s="55"/>
      <c r="I1" s="108"/>
      <c r="J1" s="109"/>
    </row>
    <row r="2" spans="1:20" ht="14.4">
      <c r="A2" s="55" t="s">
        <v>192</v>
      </c>
      <c r="B2" s="55" t="s">
        <v>193</v>
      </c>
      <c r="C2" s="55" t="s">
        <v>194</v>
      </c>
      <c r="D2" s="55" t="s">
        <v>180</v>
      </c>
      <c r="E2" s="55"/>
      <c r="F2" s="55"/>
      <c r="G2" s="55"/>
      <c r="H2" s="55"/>
      <c r="I2" s="110" t="s">
        <v>195</v>
      </c>
      <c r="J2" s="95">
        <v>1077.22762239701</v>
      </c>
    </row>
    <row r="3" spans="1:20">
      <c r="A3" s="55" t="s">
        <v>196</v>
      </c>
      <c r="B3" s="55" t="s">
        <v>197</v>
      </c>
      <c r="C3" s="55" t="s">
        <v>183</v>
      </c>
      <c r="D3" s="127" t="s">
        <v>232</v>
      </c>
      <c r="E3" s="111" t="s">
        <v>198</v>
      </c>
      <c r="F3" s="111" t="s">
        <v>199</v>
      </c>
      <c r="G3" s="55" t="s">
        <v>200</v>
      </c>
      <c r="H3" s="55"/>
      <c r="I3" s="110" t="s">
        <v>201</v>
      </c>
      <c r="J3" s="112">
        <v>-6</v>
      </c>
    </row>
    <row r="4" spans="1:20">
      <c r="A4" s="55" t="s">
        <v>202</v>
      </c>
      <c r="B4" s="55" t="s">
        <v>185</v>
      </c>
      <c r="C4" s="55" t="s">
        <v>203</v>
      </c>
      <c r="D4" s="55" t="s">
        <v>204</v>
      </c>
      <c r="E4" s="55" t="s">
        <v>205</v>
      </c>
      <c r="F4" s="55"/>
      <c r="G4" s="55"/>
      <c r="H4" s="55"/>
      <c r="I4" s="108" t="s">
        <v>206</v>
      </c>
      <c r="J4" s="113">
        <v>10.9</v>
      </c>
    </row>
    <row r="5" spans="1:20">
      <c r="A5" s="55" t="s">
        <v>207</v>
      </c>
      <c r="B5" s="55" t="s">
        <v>208</v>
      </c>
      <c r="C5" s="55" t="s">
        <v>187</v>
      </c>
      <c r="D5" s="55"/>
      <c r="E5" s="55"/>
      <c r="F5" s="55"/>
      <c r="G5" s="55"/>
      <c r="H5" s="55"/>
      <c r="I5" s="108" t="s">
        <v>209</v>
      </c>
      <c r="J5" s="113">
        <v>-3.56</v>
      </c>
      <c r="O5" s="126"/>
    </row>
    <row r="6" spans="1:20">
      <c r="A6" s="55" t="s">
        <v>210</v>
      </c>
      <c r="B6" s="117" t="s">
        <v>216</v>
      </c>
      <c r="C6" s="117" t="s">
        <v>215</v>
      </c>
      <c r="D6" s="55"/>
      <c r="E6" s="55"/>
      <c r="F6" s="55"/>
      <c r="G6" s="55"/>
      <c r="H6" s="55"/>
      <c r="I6" s="153" t="s">
        <v>238</v>
      </c>
      <c r="J6" s="115">
        <v>0.54300000000000004</v>
      </c>
      <c r="K6" s="152"/>
    </row>
    <row r="7" spans="1:20">
      <c r="A7" s="55" t="s">
        <v>190</v>
      </c>
      <c r="B7" s="128" t="s">
        <v>237</v>
      </c>
      <c r="C7" s="128" t="s">
        <v>236</v>
      </c>
      <c r="D7" s="127" t="s">
        <v>235</v>
      </c>
      <c r="E7" s="55"/>
      <c r="F7" s="55"/>
      <c r="G7" s="55"/>
      <c r="H7" s="55"/>
      <c r="I7" s="114" t="s">
        <v>40</v>
      </c>
      <c r="J7" s="108">
        <f>'Advies 2023'!B55</f>
        <v>2.18E-2</v>
      </c>
      <c r="L7" s="58">
        <f>J7*J6</f>
        <v>1.1837400000000001E-2</v>
      </c>
    </row>
    <row r="8" spans="1:20">
      <c r="I8" s="124" t="s">
        <v>230</v>
      </c>
      <c r="J8" s="58">
        <f>'Advies 2023'!D66</f>
        <v>-6.0572600000000001E-3</v>
      </c>
    </row>
    <row r="9" spans="1:20">
      <c r="E9" s="139" t="s">
        <v>233</v>
      </c>
    </row>
    <row r="10" spans="1:20" s="61" customFormat="1">
      <c r="A10" s="61" t="s">
        <v>213</v>
      </c>
      <c r="B10" s="61" t="s">
        <v>212</v>
      </c>
      <c r="C10" s="61" t="s">
        <v>211</v>
      </c>
      <c r="E10" s="137" t="s">
        <v>214</v>
      </c>
      <c r="F10" s="137" t="s">
        <v>77</v>
      </c>
      <c r="G10" s="137" t="s">
        <v>23</v>
      </c>
      <c r="H10" s="137" t="s">
        <v>217</v>
      </c>
      <c r="I10" s="131" t="s">
        <v>227</v>
      </c>
      <c r="J10" s="132" t="s">
        <v>228</v>
      </c>
      <c r="K10" s="131" t="s">
        <v>218</v>
      </c>
      <c r="L10" s="131" t="s">
        <v>219</v>
      </c>
      <c r="M10" s="131" t="s">
        <v>221</v>
      </c>
      <c r="N10" s="131" t="s">
        <v>222</v>
      </c>
      <c r="O10" s="131" t="s">
        <v>223</v>
      </c>
      <c r="P10" s="131" t="s">
        <v>224</v>
      </c>
      <c r="Q10" s="131" t="s">
        <v>225</v>
      </c>
      <c r="R10" s="131" t="s">
        <v>220</v>
      </c>
      <c r="S10" s="131" t="s">
        <v>231</v>
      </c>
      <c r="T10" s="131" t="s">
        <v>188</v>
      </c>
    </row>
    <row r="11" spans="1:20">
      <c r="A11" t="s">
        <v>192</v>
      </c>
      <c r="B11" t="s">
        <v>193</v>
      </c>
      <c r="C11" s="59">
        <f>J4</f>
        <v>10.9</v>
      </c>
      <c r="E11" s="138" t="e">
        <f>VLOOKUP(KeuzeOpgaveTool!C7,KeuzesTool!B10:C29,2,FALSE)</f>
        <v>#N/A</v>
      </c>
      <c r="F11" s="138" t="e">
        <f>VLOOKUP(KeuzeOpgaveTool!C4,KeuzesTool!B11:C29,2,FALSE)</f>
        <v>#N/A</v>
      </c>
      <c r="G11" s="138" t="e">
        <f>(((1+F11)/(1+E11))-1)*J6</f>
        <v>#N/A</v>
      </c>
      <c r="H11" s="138" t="e">
        <f>G11-F11*$J$6</f>
        <v>#N/A</v>
      </c>
      <c r="I11" s="133" t="e">
        <f>VLOOKUP(KeuzeOpgaveTool!C8,KeuzesTool!B10:C30,2,FALSE)</f>
        <v>#N/A</v>
      </c>
      <c r="J11" s="133" t="e">
        <f>I11+$J$7*$J$6</f>
        <v>#N/A</v>
      </c>
      <c r="K11" s="134" t="e">
        <f>G11-J11</f>
        <v>#N/A</v>
      </c>
      <c r="L11" s="135" t="e">
        <f>K11*'Advies 2023'!$B$60*'Advies 2023'!$B$53</f>
        <v>#N/A</v>
      </c>
      <c r="M11" s="135" t="e">
        <f>VLOOKUP(KeuzeOpgaveTool!C3,KeuzesTool!B10:C29,2,FALSE)</f>
        <v>#N/A</v>
      </c>
      <c r="N11" s="135" t="e">
        <f>L11-M11</f>
        <v>#N/A</v>
      </c>
      <c r="O11" s="135" t="e">
        <f>VLOOKUP(KeuzeOpgaveTool!C6,KeuzesTool!B10:C29,2,FALSE)</f>
        <v>#N/A</v>
      </c>
      <c r="P11" s="135" t="e">
        <f>O11+M11</f>
        <v>#N/A</v>
      </c>
      <c r="Q11" s="135" t="e">
        <f>L11-P11</f>
        <v>#N/A</v>
      </c>
      <c r="R11" s="135" t="e">
        <f>Q11*VLOOKUP(KeuzeOpgaveTool!C5,KeuzesTool!B10:C29,2,FALSE)</f>
        <v>#N/A</v>
      </c>
      <c r="S11" s="134" t="e">
        <f>IF(VLOOKUP(KeuzeOpgaveTool!C8,KeuzesTool!B10:C30,1,FALSE)=B30,C30,VLOOKUP(KeuzeOpgaveTool!C8,KeuzesTool!B10:C30,2,FALSE)+$J$8)</f>
        <v>#N/A</v>
      </c>
      <c r="T11" s="136" t="e">
        <f>S11+KeuzesTool!R11/KeuzesTool!J2</f>
        <v>#N/A</v>
      </c>
    </row>
    <row r="12" spans="1:20">
      <c r="A12" s="80" t="s">
        <v>192</v>
      </c>
      <c r="B12" t="s">
        <v>194</v>
      </c>
      <c r="C12">
        <v>0</v>
      </c>
      <c r="H12" s="139"/>
    </row>
    <row r="13" spans="1:20">
      <c r="A13" s="80" t="s">
        <v>192</v>
      </c>
      <c r="B13" s="55" t="s">
        <v>180</v>
      </c>
      <c r="C13" s="59">
        <f>J5+J4</f>
        <v>7.34</v>
      </c>
    </row>
    <row r="14" spans="1:20">
      <c r="A14" s="55" t="s">
        <v>196</v>
      </c>
      <c r="B14" s="55" t="s">
        <v>197</v>
      </c>
      <c r="C14" s="58">
        <f>'Advies 2023'!A2</f>
        <v>1.2200000000000001E-2</v>
      </c>
    </row>
    <row r="15" spans="1:20">
      <c r="A15" s="55" t="s">
        <v>196</v>
      </c>
      <c r="B15" s="55" t="s">
        <v>183</v>
      </c>
      <c r="C15" s="58">
        <f>'Advies 2023'!A3</f>
        <v>2.18E-2</v>
      </c>
    </row>
    <row r="16" spans="1:20">
      <c r="A16" s="55" t="s">
        <v>196</v>
      </c>
      <c r="B16" s="127" t="s">
        <v>232</v>
      </c>
      <c r="C16" s="58">
        <f>'Advies 2023'!A4</f>
        <v>2.7199999999999998E-2</v>
      </c>
    </row>
    <row r="17" spans="1:6">
      <c r="A17" s="55" t="s">
        <v>196</v>
      </c>
      <c r="B17" s="111" t="s">
        <v>198</v>
      </c>
      <c r="C17" s="58">
        <f>'Advies 2023'!A5</f>
        <v>4.7199999999999999E-2</v>
      </c>
      <c r="E17" s="58">
        <f>(C16-C15)</f>
        <v>5.3999999999999986E-3</v>
      </c>
      <c r="F17" s="126">
        <f>E17*J6*J2</f>
        <v>3.158646834392512</v>
      </c>
    </row>
    <row r="18" spans="1:6">
      <c r="A18" s="55" t="s">
        <v>196</v>
      </c>
      <c r="B18" s="111" t="s">
        <v>199</v>
      </c>
      <c r="C18" s="58">
        <f>'Advies 2023'!A6</f>
        <v>7.1999999999999998E-3</v>
      </c>
    </row>
    <row r="19" spans="1:6">
      <c r="A19" s="55" t="s">
        <v>196</v>
      </c>
      <c r="B19" s="55" t="s">
        <v>200</v>
      </c>
      <c r="C19" s="58">
        <f>'Advies 2023'!A7</f>
        <v>2.9000000000000001E-2</v>
      </c>
    </row>
    <row r="20" spans="1:6">
      <c r="A20" s="55" t="s">
        <v>202</v>
      </c>
      <c r="B20" s="55" t="s">
        <v>185</v>
      </c>
      <c r="C20">
        <f>4/4</f>
        <v>1</v>
      </c>
    </row>
    <row r="21" spans="1:6">
      <c r="A21" s="55" t="s">
        <v>202</v>
      </c>
      <c r="B21" s="55" t="s">
        <v>203</v>
      </c>
      <c r="C21">
        <f>4/6</f>
        <v>0.66666666666666663</v>
      </c>
    </row>
    <row r="22" spans="1:6">
      <c r="A22" s="55" t="s">
        <v>202</v>
      </c>
      <c r="B22" s="55" t="s">
        <v>204</v>
      </c>
      <c r="C22">
        <f>4/8</f>
        <v>0.5</v>
      </c>
    </row>
    <row r="23" spans="1:6">
      <c r="A23" s="55" t="s">
        <v>202</v>
      </c>
      <c r="B23" s="55" t="s">
        <v>205</v>
      </c>
      <c r="C23">
        <f>4/10</f>
        <v>0.4</v>
      </c>
    </row>
    <row r="24" spans="1:6">
      <c r="A24" s="55" t="s">
        <v>207</v>
      </c>
      <c r="B24" s="55" t="s">
        <v>208</v>
      </c>
      <c r="C24">
        <v>-6</v>
      </c>
    </row>
    <row r="25" spans="1:6">
      <c r="A25" s="55" t="s">
        <v>207</v>
      </c>
      <c r="B25" s="118" t="s">
        <v>187</v>
      </c>
      <c r="C25">
        <v>0</v>
      </c>
    </row>
    <row r="26" spans="1:6">
      <c r="A26" s="55" t="s">
        <v>210</v>
      </c>
      <c r="B26" s="117" t="s">
        <v>216</v>
      </c>
      <c r="C26" s="58">
        <v>2.9000000000000001E-2</v>
      </c>
    </row>
    <row r="27" spans="1:6">
      <c r="A27" s="55" t="s">
        <v>210</v>
      </c>
      <c r="B27" s="117" t="s">
        <v>215</v>
      </c>
      <c r="C27" s="58">
        <v>3.5000000000000003E-2</v>
      </c>
    </row>
    <row r="28" spans="1:6">
      <c r="A28" s="118" t="s">
        <v>229</v>
      </c>
      <c r="B28" s="128" t="s">
        <v>237</v>
      </c>
      <c r="C28" s="111">
        <v>-3.3000000000000002E-2</v>
      </c>
    </row>
    <row r="29" spans="1:6">
      <c r="A29" s="118" t="s">
        <v>229</v>
      </c>
      <c r="B29" s="128" t="s">
        <v>236</v>
      </c>
      <c r="C29" s="111">
        <v>-2.5999999999999999E-2</v>
      </c>
    </row>
    <row r="30" spans="1:6">
      <c r="A30" s="139" t="s">
        <v>229</v>
      </c>
      <c r="B30" s="127" t="s">
        <v>235</v>
      </c>
      <c r="C30" s="58">
        <v>-3.2000000000000001E-2</v>
      </c>
    </row>
    <row r="31" spans="1:6">
      <c r="A31" s="63"/>
      <c r="B31" s="117"/>
      <c r="C31" s="58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7">
    <outlinePr summaryBelow="0" summaryRight="0"/>
  </sheetPr>
  <dimension ref="A1:C763"/>
  <sheetViews>
    <sheetView workbookViewId="0"/>
  </sheetViews>
  <sheetFormatPr defaultColWidth="12.6640625" defaultRowHeight="15.75" customHeight="1"/>
  <cols>
    <col min="1" max="1" width="14.6640625" customWidth="1"/>
    <col min="2" max="2" width="15.88671875" customWidth="1"/>
  </cols>
  <sheetData>
    <row r="1" spans="1:3">
      <c r="A1" s="1" t="s">
        <v>100</v>
      </c>
      <c r="B1" s="1" t="s">
        <v>101</v>
      </c>
      <c r="C1" s="1" t="s">
        <v>102</v>
      </c>
    </row>
    <row r="2" spans="1:3">
      <c r="A2" s="7">
        <v>1960</v>
      </c>
      <c r="B2" s="7">
        <v>4.4550000000000001</v>
      </c>
      <c r="C2" s="10">
        <f t="shared" ref="C2:C65" si="0">(B2/100)</f>
        <v>4.4549999999999999E-2</v>
      </c>
    </row>
    <row r="3" spans="1:3">
      <c r="A3" s="7">
        <v>1961</v>
      </c>
      <c r="B3" s="7">
        <v>4.1790000000000003</v>
      </c>
      <c r="C3" s="10">
        <f t="shared" si="0"/>
        <v>4.1790000000000001E-2</v>
      </c>
    </row>
    <row r="4" spans="1:3">
      <c r="A4" s="7">
        <v>1962</v>
      </c>
      <c r="B4" s="7">
        <v>4.2359999999999998</v>
      </c>
      <c r="C4" s="10">
        <f t="shared" si="0"/>
        <v>4.2359999999999995E-2</v>
      </c>
    </row>
    <row r="5" spans="1:3">
      <c r="A5" s="7">
        <v>1963</v>
      </c>
      <c r="B5" s="7">
        <v>4.3090000000000002</v>
      </c>
      <c r="C5" s="10">
        <f t="shared" si="0"/>
        <v>4.3090000000000003E-2</v>
      </c>
    </row>
    <row r="6" spans="1:3">
      <c r="A6" s="7">
        <v>1964</v>
      </c>
      <c r="B6" s="7">
        <v>5.0890000000000004</v>
      </c>
      <c r="C6" s="10">
        <f t="shared" si="0"/>
        <v>5.0890000000000005E-2</v>
      </c>
    </row>
    <row r="7" spans="1:3">
      <c r="A7" s="7">
        <v>1965</v>
      </c>
      <c r="B7" s="7">
        <v>5.5010000000000003</v>
      </c>
      <c r="C7" s="10">
        <f t="shared" si="0"/>
        <v>5.5010000000000003E-2</v>
      </c>
    </row>
    <row r="8" spans="1:3">
      <c r="A8" s="7">
        <v>1966</v>
      </c>
      <c r="B8" s="7">
        <v>6.5830000000000002</v>
      </c>
      <c r="C8" s="10">
        <f t="shared" si="0"/>
        <v>6.583E-2</v>
      </c>
    </row>
    <row r="9" spans="1:3">
      <c r="A9" s="7">
        <v>1967</v>
      </c>
      <c r="B9" s="7">
        <v>6.4240000000000004</v>
      </c>
      <c r="C9" s="10">
        <f t="shared" si="0"/>
        <v>6.4240000000000005E-2</v>
      </c>
    </row>
    <row r="10" spans="1:3">
      <c r="A10" s="7">
        <v>1968</v>
      </c>
      <c r="B10" s="7">
        <v>6.5190000000000001</v>
      </c>
      <c r="C10" s="10">
        <f t="shared" si="0"/>
        <v>6.5189999999999998E-2</v>
      </c>
    </row>
    <row r="11" spans="1:3">
      <c r="A11" s="7">
        <v>1969</v>
      </c>
      <c r="B11" s="7">
        <v>7.4729999999999999</v>
      </c>
      <c r="C11" s="10">
        <f t="shared" si="0"/>
        <v>7.4730000000000005E-2</v>
      </c>
    </row>
    <row r="12" spans="1:3">
      <c r="A12" s="7">
        <v>1970</v>
      </c>
      <c r="B12" s="7">
        <v>8.0109999999999992</v>
      </c>
      <c r="C12" s="10">
        <f t="shared" si="0"/>
        <v>8.0109999999999987E-2</v>
      </c>
    </row>
    <row r="13" spans="1:3">
      <c r="A13" s="7">
        <v>1971</v>
      </c>
      <c r="B13" s="7">
        <v>7.6260000000000003</v>
      </c>
      <c r="C13" s="10">
        <f t="shared" si="0"/>
        <v>7.6260000000000008E-2</v>
      </c>
    </row>
    <row r="14" spans="1:3">
      <c r="A14" s="7">
        <v>1972</v>
      </c>
      <c r="B14" s="7">
        <v>7.3540000000000001</v>
      </c>
      <c r="C14" s="10">
        <f t="shared" si="0"/>
        <v>7.3539999999999994E-2</v>
      </c>
    </row>
    <row r="15" spans="1:3">
      <c r="A15" s="7">
        <v>1973</v>
      </c>
      <c r="B15" s="7">
        <v>7.9169999999999998</v>
      </c>
      <c r="C15" s="10">
        <f t="shared" si="0"/>
        <v>7.9170000000000004E-2</v>
      </c>
    </row>
    <row r="16" spans="1:3">
      <c r="A16" s="7">
        <v>1974</v>
      </c>
      <c r="B16" s="7">
        <v>9.8239999999999998</v>
      </c>
      <c r="C16" s="10">
        <f t="shared" si="0"/>
        <v>9.8239999999999994E-2</v>
      </c>
    </row>
    <row r="17" spans="1:3">
      <c r="A17" s="7">
        <v>1975</v>
      </c>
      <c r="B17" s="7">
        <v>8.7870000000000008</v>
      </c>
      <c r="C17" s="10">
        <f t="shared" si="0"/>
        <v>8.7870000000000004E-2</v>
      </c>
    </row>
    <row r="18" spans="1:3">
      <c r="A18" s="7">
        <v>1976</v>
      </c>
      <c r="B18" s="7">
        <v>8.9529999999999994</v>
      </c>
      <c r="C18" s="10">
        <f t="shared" si="0"/>
        <v>8.9529999999999998E-2</v>
      </c>
    </row>
    <row r="19" spans="1:3">
      <c r="A19" s="7">
        <v>1977</v>
      </c>
      <c r="B19" s="7">
        <v>8.1010000000000009</v>
      </c>
      <c r="C19" s="10">
        <f t="shared" si="0"/>
        <v>8.1010000000000013E-2</v>
      </c>
    </row>
    <row r="20" spans="1:3">
      <c r="A20" s="7">
        <v>1978</v>
      </c>
      <c r="B20" s="7">
        <v>7.7359999999999998</v>
      </c>
      <c r="C20" s="10">
        <f t="shared" si="0"/>
        <v>7.7359999999999998E-2</v>
      </c>
    </row>
    <row r="21" spans="1:3">
      <c r="A21" s="7">
        <v>1979</v>
      </c>
      <c r="B21" s="7">
        <v>8.7750000000000004</v>
      </c>
      <c r="C21" s="10">
        <f t="shared" si="0"/>
        <v>8.7750000000000009E-2</v>
      </c>
    </row>
    <row r="22" spans="1:3">
      <c r="A22" s="7">
        <v>1980</v>
      </c>
      <c r="B22" s="7">
        <v>10.208</v>
      </c>
      <c r="C22" s="10">
        <f t="shared" si="0"/>
        <v>0.10208</v>
      </c>
    </row>
    <row r="23" spans="1:3">
      <c r="A23" s="7">
        <v>1981</v>
      </c>
      <c r="B23" s="7">
        <v>11.553000000000001</v>
      </c>
      <c r="C23" s="10">
        <f t="shared" si="0"/>
        <v>0.11553000000000001</v>
      </c>
    </row>
    <row r="24" spans="1:3">
      <c r="A24" s="7">
        <v>1982</v>
      </c>
      <c r="B24" s="7">
        <v>10.098000000000001</v>
      </c>
      <c r="C24" s="10">
        <f t="shared" si="0"/>
        <v>0.10098000000000001</v>
      </c>
    </row>
    <row r="25" spans="1:3">
      <c r="A25" s="7">
        <v>1983</v>
      </c>
      <c r="B25" s="7">
        <v>8.6110000000000007</v>
      </c>
      <c r="C25" s="10">
        <f t="shared" si="0"/>
        <v>8.6110000000000006E-2</v>
      </c>
    </row>
    <row r="26" spans="1:3">
      <c r="A26" s="7">
        <v>1984</v>
      </c>
      <c r="B26" s="7">
        <v>8.3279999999999994</v>
      </c>
      <c r="C26" s="10">
        <f t="shared" si="0"/>
        <v>8.3279999999999993E-2</v>
      </c>
    </row>
    <row r="27" spans="1:3">
      <c r="A27" s="7">
        <v>1985</v>
      </c>
      <c r="B27" s="7">
        <v>7.3280000000000003</v>
      </c>
      <c r="C27" s="10">
        <f t="shared" si="0"/>
        <v>7.3279999999999998E-2</v>
      </c>
    </row>
    <row r="28" spans="1:3">
      <c r="A28" s="7">
        <v>1986</v>
      </c>
      <c r="B28" s="7">
        <v>6.3179999999999996</v>
      </c>
      <c r="C28" s="10">
        <f t="shared" si="0"/>
        <v>6.318E-2</v>
      </c>
    </row>
    <row r="29" spans="1:3">
      <c r="A29" s="7">
        <v>1987</v>
      </c>
      <c r="B29" s="7">
        <v>6.4029999999999996</v>
      </c>
      <c r="C29" s="10">
        <f t="shared" si="0"/>
        <v>6.402999999999999E-2</v>
      </c>
    </row>
    <row r="30" spans="1:3">
      <c r="A30" s="7">
        <v>1988</v>
      </c>
      <c r="B30" s="7">
        <v>6.4160000000000004</v>
      </c>
      <c r="C30" s="10">
        <f t="shared" si="0"/>
        <v>6.4160000000000009E-2</v>
      </c>
    </row>
    <row r="31" spans="1:3">
      <c r="A31" s="7">
        <v>1989</v>
      </c>
      <c r="B31" s="7">
        <v>7.218</v>
      </c>
      <c r="C31" s="10">
        <f t="shared" si="0"/>
        <v>7.2179999999999994E-2</v>
      </c>
    </row>
    <row r="32" spans="1:3">
      <c r="A32" s="7">
        <v>1990</v>
      </c>
      <c r="B32" s="7">
        <v>8.9209999999999994</v>
      </c>
      <c r="C32" s="10">
        <f t="shared" si="0"/>
        <v>8.9209999999999998E-2</v>
      </c>
    </row>
    <row r="33" spans="1:3">
      <c r="A33" s="7">
        <v>1991</v>
      </c>
      <c r="B33" s="7">
        <v>8.7390000000000008</v>
      </c>
      <c r="C33" s="10">
        <f t="shared" si="0"/>
        <v>8.7390000000000009E-2</v>
      </c>
    </row>
    <row r="34" spans="1:3">
      <c r="A34" s="7">
        <v>1992</v>
      </c>
      <c r="B34" s="7">
        <v>8.1029999999999998</v>
      </c>
      <c r="C34" s="10">
        <f t="shared" si="0"/>
        <v>8.1029999999999991E-2</v>
      </c>
    </row>
    <row r="35" spans="1:3">
      <c r="A35" s="7">
        <v>1993</v>
      </c>
      <c r="B35" s="7">
        <v>6.359</v>
      </c>
      <c r="C35" s="10">
        <f t="shared" si="0"/>
        <v>6.3589999999999994E-2</v>
      </c>
    </row>
    <row r="36" spans="1:3">
      <c r="A36" s="7">
        <v>1994</v>
      </c>
      <c r="B36" s="7">
        <v>6.8630000000000004</v>
      </c>
      <c r="C36" s="10">
        <f t="shared" si="0"/>
        <v>6.863000000000001E-2</v>
      </c>
    </row>
    <row r="37" spans="1:3">
      <c r="A37" s="7">
        <v>1995</v>
      </c>
      <c r="B37" s="7">
        <v>6.9</v>
      </c>
      <c r="C37" s="10">
        <f t="shared" si="0"/>
        <v>6.9000000000000006E-2</v>
      </c>
    </row>
    <row r="38" spans="1:3">
      <c r="A38" s="7">
        <v>1996</v>
      </c>
      <c r="B38" s="7">
        <v>6.15</v>
      </c>
      <c r="C38" s="10">
        <f t="shared" si="0"/>
        <v>6.1500000000000006E-2</v>
      </c>
    </row>
    <row r="39" spans="1:3">
      <c r="A39" s="7">
        <v>1997</v>
      </c>
      <c r="B39" s="7">
        <v>5.577</v>
      </c>
      <c r="C39" s="10">
        <f t="shared" si="0"/>
        <v>5.577E-2</v>
      </c>
    </row>
    <row r="40" spans="1:3">
      <c r="A40" s="7">
        <v>1998</v>
      </c>
      <c r="B40" s="7">
        <v>4.6319999999999997</v>
      </c>
      <c r="C40" s="10">
        <f t="shared" si="0"/>
        <v>4.632E-2</v>
      </c>
    </row>
    <row r="41" spans="1:3">
      <c r="A41" s="7">
        <v>1999</v>
      </c>
      <c r="B41" s="7">
        <v>4.6289999999999996</v>
      </c>
      <c r="C41" s="10">
        <f t="shared" si="0"/>
        <v>4.6289999999999998E-2</v>
      </c>
    </row>
    <row r="42" spans="1:3">
      <c r="A42" s="7">
        <v>2000</v>
      </c>
      <c r="B42" s="7">
        <v>5.4029999999999996</v>
      </c>
      <c r="C42" s="10">
        <f t="shared" si="0"/>
        <v>5.4029999999999995E-2</v>
      </c>
    </row>
    <row r="43" spans="1:3">
      <c r="A43" s="7">
        <v>2001</v>
      </c>
      <c r="B43" s="7">
        <v>4.9569999999999999</v>
      </c>
      <c r="C43" s="10">
        <f t="shared" si="0"/>
        <v>4.9569999999999996E-2</v>
      </c>
    </row>
    <row r="44" spans="1:3">
      <c r="A44" s="7">
        <v>2002</v>
      </c>
      <c r="B44" s="7">
        <v>4.8899999999999997</v>
      </c>
      <c r="C44" s="10">
        <f t="shared" si="0"/>
        <v>4.8899999999999999E-2</v>
      </c>
    </row>
    <row r="45" spans="1:3">
      <c r="A45" s="7">
        <v>2003</v>
      </c>
      <c r="B45" s="7">
        <v>4.1230000000000002</v>
      </c>
      <c r="C45" s="10">
        <f t="shared" si="0"/>
        <v>4.1230000000000003E-2</v>
      </c>
    </row>
    <row r="46" spans="1:3">
      <c r="A46" s="7">
        <v>2004</v>
      </c>
      <c r="B46" s="7">
        <v>4.0949999999999998</v>
      </c>
      <c r="C46" s="10">
        <f t="shared" si="0"/>
        <v>4.095E-2</v>
      </c>
    </row>
    <row r="47" spans="1:3">
      <c r="A47" s="7">
        <v>2005</v>
      </c>
      <c r="B47" s="7">
        <v>3.3740000000000001</v>
      </c>
      <c r="C47" s="10">
        <f t="shared" si="0"/>
        <v>3.3739999999999999E-2</v>
      </c>
    </row>
    <row r="48" spans="1:3">
      <c r="A48" s="7">
        <v>2006</v>
      </c>
      <c r="B48" s="7">
        <v>3.782</v>
      </c>
      <c r="C48" s="10">
        <f t="shared" si="0"/>
        <v>3.7819999999999999E-2</v>
      </c>
    </row>
    <row r="49" spans="1:3">
      <c r="A49" s="7">
        <v>2007</v>
      </c>
      <c r="B49" s="7">
        <v>4.2880000000000003</v>
      </c>
      <c r="C49" s="10">
        <f t="shared" si="0"/>
        <v>4.2880000000000001E-2</v>
      </c>
    </row>
    <row r="50" spans="1:3">
      <c r="A50" s="7">
        <v>2008</v>
      </c>
      <c r="B50" s="7">
        <v>4.2279999999999998</v>
      </c>
      <c r="C50" s="10">
        <f t="shared" si="0"/>
        <v>4.2279999999999998E-2</v>
      </c>
    </row>
    <row r="51" spans="1:3">
      <c r="A51" s="7">
        <v>2009</v>
      </c>
      <c r="B51" s="7">
        <v>3.6869999999999998</v>
      </c>
      <c r="C51" s="10">
        <f t="shared" si="0"/>
        <v>3.687E-2</v>
      </c>
    </row>
    <row r="52" spans="1:3">
      <c r="A52" s="7">
        <v>2010</v>
      </c>
      <c r="B52" s="7">
        <v>2.99</v>
      </c>
      <c r="C52" s="10">
        <f t="shared" si="0"/>
        <v>2.9900000000000003E-2</v>
      </c>
    </row>
    <row r="53" spans="1:3">
      <c r="A53" s="7">
        <v>2011</v>
      </c>
      <c r="B53" s="7">
        <v>2.9889999999999999</v>
      </c>
      <c r="C53" s="10">
        <f t="shared" si="0"/>
        <v>2.989E-2</v>
      </c>
    </row>
    <row r="54" spans="1:3">
      <c r="A54" s="7">
        <v>2012</v>
      </c>
      <c r="B54" s="7">
        <v>1.9319999999999999</v>
      </c>
      <c r="C54" s="10">
        <f t="shared" si="0"/>
        <v>1.932E-2</v>
      </c>
    </row>
    <row r="55" spans="1:3">
      <c r="A55" s="7">
        <v>2013</v>
      </c>
      <c r="B55" s="7">
        <v>1.9610000000000001</v>
      </c>
      <c r="C55" s="10">
        <f t="shared" si="0"/>
        <v>1.9610000000000002E-2</v>
      </c>
    </row>
    <row r="56" spans="1:3">
      <c r="A56" s="7">
        <v>2014</v>
      </c>
      <c r="B56" s="7">
        <v>1.4550000000000001</v>
      </c>
      <c r="C56" s="10">
        <f t="shared" si="0"/>
        <v>1.455E-2</v>
      </c>
    </row>
    <row r="57" spans="1:3">
      <c r="A57" s="7">
        <v>2015</v>
      </c>
      <c r="B57" s="7">
        <v>0.69</v>
      </c>
      <c r="C57" s="10">
        <f t="shared" si="0"/>
        <v>6.8999999999999999E-3</v>
      </c>
    </row>
    <row r="58" spans="1:3">
      <c r="A58" s="7">
        <v>2016</v>
      </c>
      <c r="B58" s="7">
        <v>0.29099999999999998</v>
      </c>
      <c r="C58" s="10">
        <f t="shared" si="0"/>
        <v>2.9099999999999998E-3</v>
      </c>
    </row>
    <row r="59" spans="1:3">
      <c r="A59" s="7">
        <v>2017</v>
      </c>
      <c r="B59" s="7">
        <v>0.52200000000000002</v>
      </c>
      <c r="C59" s="10">
        <f t="shared" si="0"/>
        <v>5.2199999999999998E-3</v>
      </c>
    </row>
    <row r="60" spans="1:3">
      <c r="A60" s="7">
        <v>2018</v>
      </c>
      <c r="B60" s="7">
        <v>0.57699999999999996</v>
      </c>
      <c r="C60" s="10">
        <f t="shared" si="0"/>
        <v>5.77E-3</v>
      </c>
    </row>
    <row r="61" spans="1:3">
      <c r="A61" s="7">
        <v>2019</v>
      </c>
      <c r="B61" s="7">
        <v>-7.0000000000000007E-2</v>
      </c>
      <c r="C61" s="10">
        <f t="shared" si="0"/>
        <v>-7.000000000000001E-4</v>
      </c>
    </row>
    <row r="62" spans="1:3">
      <c r="A62" s="7">
        <v>2020</v>
      </c>
      <c r="B62" s="7">
        <v>-0.377</v>
      </c>
      <c r="C62" s="10">
        <f t="shared" si="0"/>
        <v>-3.7699999999999999E-3</v>
      </c>
    </row>
    <row r="63" spans="1:3">
      <c r="A63" s="7">
        <v>2021</v>
      </c>
      <c r="B63" s="7">
        <v>-0.32800000000000001</v>
      </c>
      <c r="C63" s="10">
        <f t="shared" si="0"/>
        <v>-3.2799999999999999E-3</v>
      </c>
    </row>
    <row r="64" spans="1:3">
      <c r="A64" s="7">
        <v>2022</v>
      </c>
      <c r="B64" s="7">
        <v>1.3779999999999999</v>
      </c>
      <c r="C64" s="10">
        <f t="shared" si="0"/>
        <v>1.3779999999999999E-2</v>
      </c>
    </row>
    <row r="65" spans="1:3">
      <c r="A65" s="7">
        <v>2023</v>
      </c>
      <c r="B65" s="7">
        <v>2.6890000000000001</v>
      </c>
      <c r="C65" s="10">
        <f t="shared" si="0"/>
        <v>2.6890000000000001E-2</v>
      </c>
    </row>
    <row r="66" spans="1:3">
      <c r="A66" s="44"/>
    </row>
    <row r="67" spans="1:3">
      <c r="A67" s="44"/>
    </row>
    <row r="68" spans="1:3">
      <c r="A68" s="44"/>
    </row>
    <row r="69" spans="1:3">
      <c r="A69" s="44"/>
    </row>
    <row r="70" spans="1:3">
      <c r="A70" s="44"/>
    </row>
    <row r="71" spans="1:3">
      <c r="A71" s="44"/>
    </row>
    <row r="72" spans="1:3">
      <c r="A72" s="44"/>
    </row>
    <row r="73" spans="1:3">
      <c r="A73" s="44"/>
    </row>
    <row r="74" spans="1:3">
      <c r="A74" s="44"/>
    </row>
    <row r="75" spans="1:3">
      <c r="A75" s="44"/>
    </row>
    <row r="76" spans="1:3">
      <c r="A76" s="44"/>
    </row>
    <row r="77" spans="1:3">
      <c r="A77" s="44"/>
    </row>
    <row r="78" spans="1:3">
      <c r="A78" s="44"/>
    </row>
    <row r="79" spans="1:3">
      <c r="A79" s="44"/>
    </row>
    <row r="80" spans="1:3">
      <c r="A80" s="44"/>
    </row>
    <row r="81" spans="1:1">
      <c r="A81" s="44"/>
    </row>
    <row r="82" spans="1:1">
      <c r="A82" s="44"/>
    </row>
    <row r="83" spans="1:1">
      <c r="A83" s="44"/>
    </row>
    <row r="84" spans="1:1">
      <c r="A84" s="44"/>
    </row>
    <row r="85" spans="1:1">
      <c r="A85" s="44"/>
    </row>
    <row r="86" spans="1:1">
      <c r="A86" s="44"/>
    </row>
    <row r="87" spans="1:1">
      <c r="A87" s="44"/>
    </row>
    <row r="88" spans="1:1">
      <c r="A88" s="44"/>
    </row>
    <row r="89" spans="1:1">
      <c r="A89" s="44"/>
    </row>
    <row r="90" spans="1:1">
      <c r="A90" s="44"/>
    </row>
    <row r="91" spans="1:1">
      <c r="A91" s="44"/>
    </row>
    <row r="92" spans="1:1">
      <c r="A92" s="44"/>
    </row>
    <row r="93" spans="1:1">
      <c r="A93" s="44"/>
    </row>
    <row r="94" spans="1:1">
      <c r="A94" s="44"/>
    </row>
    <row r="95" spans="1:1">
      <c r="A95" s="44"/>
    </row>
    <row r="96" spans="1:1">
      <c r="A96" s="44"/>
    </row>
    <row r="97" spans="1:1">
      <c r="A97" s="44"/>
    </row>
    <row r="98" spans="1:1">
      <c r="A98" s="44"/>
    </row>
    <row r="99" spans="1:1">
      <c r="A99" s="44"/>
    </row>
    <row r="100" spans="1:1">
      <c r="A100" s="44"/>
    </row>
    <row r="101" spans="1:1">
      <c r="A101" s="44"/>
    </row>
    <row r="102" spans="1:1">
      <c r="A102" s="44"/>
    </row>
    <row r="103" spans="1:1">
      <c r="A103" s="44"/>
    </row>
    <row r="104" spans="1:1">
      <c r="A104" s="44"/>
    </row>
    <row r="105" spans="1:1">
      <c r="A105" s="44"/>
    </row>
    <row r="106" spans="1:1">
      <c r="A106" s="44"/>
    </row>
    <row r="107" spans="1:1">
      <c r="A107" s="44"/>
    </row>
    <row r="108" spans="1:1">
      <c r="A108" s="44"/>
    </row>
    <row r="109" spans="1:1">
      <c r="A109" s="44"/>
    </row>
    <row r="110" spans="1:1">
      <c r="A110" s="44"/>
    </row>
    <row r="111" spans="1:1">
      <c r="A111" s="44"/>
    </row>
    <row r="112" spans="1:1">
      <c r="A112" s="44"/>
    </row>
    <row r="113" spans="1:1">
      <c r="A113" s="44"/>
    </row>
    <row r="114" spans="1:1">
      <c r="A114" s="44"/>
    </row>
    <row r="115" spans="1:1">
      <c r="A115" s="44"/>
    </row>
    <row r="116" spans="1:1">
      <c r="A116" s="44"/>
    </row>
    <row r="117" spans="1:1">
      <c r="A117" s="44"/>
    </row>
    <row r="118" spans="1:1">
      <c r="A118" s="44"/>
    </row>
    <row r="119" spans="1:1">
      <c r="A119" s="44"/>
    </row>
    <row r="120" spans="1:1">
      <c r="A120" s="44"/>
    </row>
    <row r="121" spans="1:1">
      <c r="A121" s="44"/>
    </row>
    <row r="122" spans="1:1">
      <c r="A122" s="44"/>
    </row>
    <row r="123" spans="1:1">
      <c r="A123" s="44"/>
    </row>
    <row r="124" spans="1:1">
      <c r="A124" s="44"/>
    </row>
    <row r="125" spans="1:1">
      <c r="A125" s="44"/>
    </row>
    <row r="126" spans="1:1">
      <c r="A126" s="44"/>
    </row>
    <row r="127" spans="1:1">
      <c r="A127" s="44"/>
    </row>
    <row r="128" spans="1:1">
      <c r="A128" s="44"/>
    </row>
    <row r="129" spans="1:1">
      <c r="A129" s="44"/>
    </row>
    <row r="130" spans="1:1">
      <c r="A130" s="44"/>
    </row>
    <row r="131" spans="1:1">
      <c r="A131" s="44"/>
    </row>
    <row r="132" spans="1:1">
      <c r="A132" s="44"/>
    </row>
    <row r="133" spans="1:1">
      <c r="A133" s="44"/>
    </row>
    <row r="134" spans="1:1">
      <c r="A134" s="44"/>
    </row>
    <row r="135" spans="1:1">
      <c r="A135" s="44"/>
    </row>
    <row r="136" spans="1:1">
      <c r="A136" s="44"/>
    </row>
    <row r="137" spans="1:1">
      <c r="A137" s="44"/>
    </row>
    <row r="138" spans="1:1">
      <c r="A138" s="44"/>
    </row>
    <row r="139" spans="1:1">
      <c r="A139" s="44"/>
    </row>
    <row r="140" spans="1:1">
      <c r="A140" s="44"/>
    </row>
    <row r="141" spans="1:1">
      <c r="A141" s="44"/>
    </row>
    <row r="142" spans="1:1">
      <c r="A142" s="44"/>
    </row>
    <row r="143" spans="1:1">
      <c r="A143" s="44"/>
    </row>
    <row r="144" spans="1:1">
      <c r="A144" s="44"/>
    </row>
    <row r="145" spans="1:1">
      <c r="A145" s="44"/>
    </row>
    <row r="146" spans="1:1">
      <c r="A146" s="44"/>
    </row>
    <row r="147" spans="1:1">
      <c r="A147" s="44"/>
    </row>
    <row r="148" spans="1:1">
      <c r="A148" s="44"/>
    </row>
    <row r="149" spans="1:1">
      <c r="A149" s="44"/>
    </row>
    <row r="150" spans="1:1">
      <c r="A150" s="44"/>
    </row>
    <row r="151" spans="1:1">
      <c r="A151" s="44"/>
    </row>
    <row r="152" spans="1:1">
      <c r="A152" s="44"/>
    </row>
    <row r="153" spans="1:1">
      <c r="A153" s="44"/>
    </row>
    <row r="154" spans="1:1">
      <c r="A154" s="44"/>
    </row>
    <row r="155" spans="1:1">
      <c r="A155" s="44"/>
    </row>
    <row r="156" spans="1:1">
      <c r="A156" s="44"/>
    </row>
    <row r="157" spans="1:1">
      <c r="A157" s="44"/>
    </row>
    <row r="158" spans="1:1">
      <c r="A158" s="44"/>
    </row>
    <row r="159" spans="1:1">
      <c r="A159" s="44"/>
    </row>
    <row r="160" spans="1:1">
      <c r="A160" s="44"/>
    </row>
    <row r="161" spans="1:1">
      <c r="A161" s="44"/>
    </row>
    <row r="162" spans="1:1">
      <c r="A162" s="44"/>
    </row>
    <row r="163" spans="1:1">
      <c r="A163" s="44"/>
    </row>
    <row r="164" spans="1:1">
      <c r="A164" s="44"/>
    </row>
    <row r="165" spans="1:1">
      <c r="A165" s="44"/>
    </row>
    <row r="166" spans="1:1">
      <c r="A166" s="44"/>
    </row>
    <row r="167" spans="1:1">
      <c r="A167" s="44"/>
    </row>
    <row r="168" spans="1:1">
      <c r="A168" s="44"/>
    </row>
    <row r="169" spans="1:1">
      <c r="A169" s="44"/>
    </row>
    <row r="170" spans="1:1">
      <c r="A170" s="44"/>
    </row>
    <row r="171" spans="1:1">
      <c r="A171" s="44"/>
    </row>
    <row r="172" spans="1:1">
      <c r="A172" s="44"/>
    </row>
    <row r="173" spans="1:1">
      <c r="A173" s="44"/>
    </row>
    <row r="174" spans="1:1">
      <c r="A174" s="44"/>
    </row>
    <row r="175" spans="1:1">
      <c r="A175" s="44"/>
    </row>
    <row r="176" spans="1:1">
      <c r="A176" s="44"/>
    </row>
    <row r="177" spans="1:1">
      <c r="A177" s="44"/>
    </row>
    <row r="178" spans="1:1">
      <c r="A178" s="44"/>
    </row>
    <row r="179" spans="1:1">
      <c r="A179" s="44"/>
    </row>
    <row r="180" spans="1:1">
      <c r="A180" s="44"/>
    </row>
    <row r="181" spans="1:1">
      <c r="A181" s="44"/>
    </row>
    <row r="182" spans="1:1">
      <c r="A182" s="44"/>
    </row>
    <row r="183" spans="1:1">
      <c r="A183" s="44"/>
    </row>
    <row r="184" spans="1:1">
      <c r="A184" s="44"/>
    </row>
    <row r="185" spans="1:1">
      <c r="A185" s="44"/>
    </row>
    <row r="186" spans="1:1">
      <c r="A186" s="44"/>
    </row>
    <row r="187" spans="1:1">
      <c r="A187" s="44"/>
    </row>
    <row r="188" spans="1:1">
      <c r="A188" s="44"/>
    </row>
    <row r="189" spans="1:1">
      <c r="A189" s="44"/>
    </row>
    <row r="190" spans="1:1">
      <c r="A190" s="44"/>
    </row>
    <row r="191" spans="1:1">
      <c r="A191" s="44"/>
    </row>
    <row r="192" spans="1:1">
      <c r="A192" s="44"/>
    </row>
    <row r="193" spans="1:1">
      <c r="A193" s="44"/>
    </row>
    <row r="194" spans="1:1">
      <c r="A194" s="44"/>
    </row>
    <row r="195" spans="1:1">
      <c r="A195" s="44"/>
    </row>
    <row r="196" spans="1:1">
      <c r="A196" s="44"/>
    </row>
    <row r="197" spans="1:1">
      <c r="A197" s="44"/>
    </row>
    <row r="198" spans="1:1">
      <c r="A198" s="44"/>
    </row>
    <row r="199" spans="1:1">
      <c r="A199" s="44"/>
    </row>
    <row r="200" spans="1:1">
      <c r="A200" s="44"/>
    </row>
    <row r="201" spans="1:1">
      <c r="A201" s="44"/>
    </row>
    <row r="202" spans="1:1">
      <c r="A202" s="44"/>
    </row>
    <row r="203" spans="1:1">
      <c r="A203" s="44"/>
    </row>
    <row r="204" spans="1:1">
      <c r="A204" s="44"/>
    </row>
    <row r="205" spans="1:1">
      <c r="A205" s="44"/>
    </row>
    <row r="206" spans="1:1">
      <c r="A206" s="44"/>
    </row>
    <row r="207" spans="1:1">
      <c r="A207" s="44"/>
    </row>
    <row r="208" spans="1:1">
      <c r="A208" s="44"/>
    </row>
    <row r="209" spans="1:1">
      <c r="A209" s="44"/>
    </row>
    <row r="210" spans="1:1">
      <c r="A210" s="44"/>
    </row>
    <row r="211" spans="1:1">
      <c r="A211" s="44"/>
    </row>
    <row r="212" spans="1:1">
      <c r="A212" s="44"/>
    </row>
    <row r="213" spans="1:1">
      <c r="A213" s="44"/>
    </row>
    <row r="214" spans="1:1">
      <c r="A214" s="44"/>
    </row>
    <row r="215" spans="1:1">
      <c r="A215" s="44"/>
    </row>
    <row r="216" spans="1:1">
      <c r="A216" s="44"/>
    </row>
    <row r="217" spans="1:1">
      <c r="A217" s="44"/>
    </row>
    <row r="218" spans="1:1">
      <c r="A218" s="44"/>
    </row>
    <row r="219" spans="1:1">
      <c r="A219" s="44"/>
    </row>
    <row r="220" spans="1:1">
      <c r="A220" s="44"/>
    </row>
    <row r="221" spans="1:1">
      <c r="A221" s="44"/>
    </row>
    <row r="222" spans="1:1">
      <c r="A222" s="44"/>
    </row>
    <row r="223" spans="1:1">
      <c r="A223" s="44"/>
    </row>
    <row r="224" spans="1:1">
      <c r="A224" s="44"/>
    </row>
    <row r="225" spans="1:1">
      <c r="A225" s="44"/>
    </row>
    <row r="226" spans="1:1">
      <c r="A226" s="44"/>
    </row>
    <row r="227" spans="1:1">
      <c r="A227" s="44"/>
    </row>
    <row r="228" spans="1:1">
      <c r="A228" s="44"/>
    </row>
    <row r="229" spans="1:1">
      <c r="A229" s="44"/>
    </row>
    <row r="230" spans="1:1">
      <c r="A230" s="44"/>
    </row>
    <row r="231" spans="1:1">
      <c r="A231" s="44"/>
    </row>
    <row r="232" spans="1:1">
      <c r="A232" s="44"/>
    </row>
    <row r="233" spans="1:1">
      <c r="A233" s="44"/>
    </row>
    <row r="234" spans="1:1">
      <c r="A234" s="44"/>
    </row>
    <row r="235" spans="1:1">
      <c r="A235" s="44"/>
    </row>
    <row r="236" spans="1:1">
      <c r="A236" s="44"/>
    </row>
    <row r="237" spans="1:1">
      <c r="A237" s="44"/>
    </row>
    <row r="238" spans="1:1">
      <c r="A238" s="44"/>
    </row>
    <row r="239" spans="1:1">
      <c r="A239" s="44"/>
    </row>
    <row r="240" spans="1:1">
      <c r="A240" s="44"/>
    </row>
    <row r="241" spans="1:1">
      <c r="A241" s="44"/>
    </row>
    <row r="242" spans="1:1">
      <c r="A242" s="44"/>
    </row>
    <row r="243" spans="1:1">
      <c r="A243" s="44"/>
    </row>
    <row r="244" spans="1:1">
      <c r="A244" s="44"/>
    </row>
    <row r="245" spans="1:1">
      <c r="A245" s="44"/>
    </row>
    <row r="246" spans="1:1">
      <c r="A246" s="44"/>
    </row>
    <row r="247" spans="1:1">
      <c r="A247" s="44"/>
    </row>
    <row r="248" spans="1:1">
      <c r="A248" s="44"/>
    </row>
    <row r="249" spans="1:1">
      <c r="A249" s="44"/>
    </row>
    <row r="250" spans="1:1">
      <c r="A250" s="44"/>
    </row>
    <row r="251" spans="1:1">
      <c r="A251" s="44"/>
    </row>
    <row r="252" spans="1:1">
      <c r="A252" s="44"/>
    </row>
    <row r="253" spans="1:1">
      <c r="A253" s="44"/>
    </row>
    <row r="254" spans="1:1">
      <c r="A254" s="44"/>
    </row>
    <row r="255" spans="1:1">
      <c r="A255" s="44"/>
    </row>
    <row r="256" spans="1:1">
      <c r="A256" s="44"/>
    </row>
    <row r="257" spans="1:1">
      <c r="A257" s="44"/>
    </row>
    <row r="258" spans="1:1">
      <c r="A258" s="44"/>
    </row>
    <row r="259" spans="1:1">
      <c r="A259" s="44"/>
    </row>
    <row r="260" spans="1:1">
      <c r="A260" s="44"/>
    </row>
    <row r="261" spans="1:1">
      <c r="A261" s="44"/>
    </row>
    <row r="262" spans="1:1">
      <c r="A262" s="44"/>
    </row>
    <row r="263" spans="1:1">
      <c r="A263" s="44"/>
    </row>
    <row r="264" spans="1:1">
      <c r="A264" s="44"/>
    </row>
    <row r="265" spans="1:1">
      <c r="A265" s="44"/>
    </row>
    <row r="266" spans="1:1">
      <c r="A266" s="44"/>
    </row>
    <row r="267" spans="1:1">
      <c r="A267" s="44"/>
    </row>
    <row r="268" spans="1:1">
      <c r="A268" s="44"/>
    </row>
    <row r="269" spans="1:1">
      <c r="A269" s="44"/>
    </row>
    <row r="270" spans="1:1">
      <c r="A270" s="44"/>
    </row>
    <row r="271" spans="1:1">
      <c r="A271" s="44"/>
    </row>
    <row r="272" spans="1:1">
      <c r="A272" s="44"/>
    </row>
    <row r="273" spans="1:1">
      <c r="A273" s="44"/>
    </row>
    <row r="274" spans="1:1">
      <c r="A274" s="44"/>
    </row>
    <row r="275" spans="1:1">
      <c r="A275" s="44"/>
    </row>
    <row r="276" spans="1:1">
      <c r="A276" s="44"/>
    </row>
    <row r="277" spans="1:1">
      <c r="A277" s="44"/>
    </row>
    <row r="278" spans="1:1">
      <c r="A278" s="44"/>
    </row>
    <row r="279" spans="1:1">
      <c r="A279" s="44"/>
    </row>
    <row r="280" spans="1:1">
      <c r="A280" s="44"/>
    </row>
    <row r="281" spans="1:1">
      <c r="A281" s="44"/>
    </row>
    <row r="282" spans="1:1">
      <c r="A282" s="44"/>
    </row>
    <row r="283" spans="1:1">
      <c r="A283" s="44"/>
    </row>
    <row r="284" spans="1:1">
      <c r="A284" s="44"/>
    </row>
    <row r="285" spans="1:1">
      <c r="A285" s="44"/>
    </row>
    <row r="286" spans="1:1">
      <c r="A286" s="44"/>
    </row>
    <row r="287" spans="1:1">
      <c r="A287" s="44"/>
    </row>
    <row r="288" spans="1:1">
      <c r="A288" s="44"/>
    </row>
    <row r="289" spans="1:1">
      <c r="A289" s="44"/>
    </row>
    <row r="290" spans="1:1">
      <c r="A290" s="44"/>
    </row>
    <row r="291" spans="1:1">
      <c r="A291" s="44"/>
    </row>
    <row r="292" spans="1:1">
      <c r="A292" s="44"/>
    </row>
    <row r="293" spans="1:1">
      <c r="A293" s="44"/>
    </row>
    <row r="294" spans="1:1">
      <c r="A294" s="44"/>
    </row>
    <row r="295" spans="1:1">
      <c r="A295" s="44"/>
    </row>
    <row r="296" spans="1:1">
      <c r="A296" s="44"/>
    </row>
    <row r="297" spans="1:1">
      <c r="A297" s="44"/>
    </row>
    <row r="298" spans="1:1">
      <c r="A298" s="44"/>
    </row>
    <row r="299" spans="1:1">
      <c r="A299" s="44"/>
    </row>
    <row r="300" spans="1:1">
      <c r="A300" s="44"/>
    </row>
    <row r="301" spans="1:1">
      <c r="A301" s="44"/>
    </row>
    <row r="302" spans="1:1">
      <c r="A302" s="44"/>
    </row>
    <row r="303" spans="1:1">
      <c r="A303" s="44"/>
    </row>
    <row r="304" spans="1:1">
      <c r="A304" s="44"/>
    </row>
    <row r="305" spans="1:1">
      <c r="A305" s="44"/>
    </row>
    <row r="306" spans="1:1">
      <c r="A306" s="44"/>
    </row>
    <row r="307" spans="1:1">
      <c r="A307" s="44"/>
    </row>
    <row r="308" spans="1:1">
      <c r="A308" s="44"/>
    </row>
    <row r="309" spans="1:1">
      <c r="A309" s="44"/>
    </row>
    <row r="310" spans="1:1">
      <c r="A310" s="44"/>
    </row>
    <row r="311" spans="1:1">
      <c r="A311" s="44"/>
    </row>
    <row r="312" spans="1:1">
      <c r="A312" s="44"/>
    </row>
    <row r="313" spans="1:1">
      <c r="A313" s="44"/>
    </row>
    <row r="314" spans="1:1">
      <c r="A314" s="44"/>
    </row>
    <row r="315" spans="1:1">
      <c r="A315" s="44"/>
    </row>
    <row r="316" spans="1:1">
      <c r="A316" s="44"/>
    </row>
    <row r="317" spans="1:1">
      <c r="A317" s="44"/>
    </row>
    <row r="318" spans="1:1">
      <c r="A318" s="44"/>
    </row>
    <row r="319" spans="1:1">
      <c r="A319" s="44"/>
    </row>
    <row r="320" spans="1:1">
      <c r="A320" s="44"/>
    </row>
    <row r="321" spans="1:1">
      <c r="A321" s="44"/>
    </row>
    <row r="322" spans="1:1">
      <c r="A322" s="44"/>
    </row>
    <row r="323" spans="1:1">
      <c r="A323" s="44"/>
    </row>
    <row r="324" spans="1:1">
      <c r="A324" s="44"/>
    </row>
    <row r="325" spans="1:1">
      <c r="A325" s="44"/>
    </row>
    <row r="326" spans="1:1">
      <c r="A326" s="44"/>
    </row>
    <row r="327" spans="1:1">
      <c r="A327" s="44"/>
    </row>
    <row r="328" spans="1:1">
      <c r="A328" s="44"/>
    </row>
    <row r="329" spans="1:1">
      <c r="A329" s="44"/>
    </row>
    <row r="330" spans="1:1">
      <c r="A330" s="44"/>
    </row>
    <row r="331" spans="1:1">
      <c r="A331" s="44"/>
    </row>
    <row r="332" spans="1:1">
      <c r="A332" s="44"/>
    </row>
    <row r="333" spans="1:1">
      <c r="A333" s="44"/>
    </row>
    <row r="334" spans="1:1">
      <c r="A334" s="44"/>
    </row>
    <row r="335" spans="1:1">
      <c r="A335" s="44"/>
    </row>
    <row r="336" spans="1:1">
      <c r="A336" s="44"/>
    </row>
    <row r="337" spans="1:1">
      <c r="A337" s="44"/>
    </row>
    <row r="338" spans="1:1">
      <c r="A338" s="44"/>
    </row>
    <row r="339" spans="1:1">
      <c r="A339" s="44"/>
    </row>
    <row r="340" spans="1:1">
      <c r="A340" s="44"/>
    </row>
    <row r="341" spans="1:1">
      <c r="A341" s="44"/>
    </row>
    <row r="342" spans="1:1">
      <c r="A342" s="44"/>
    </row>
    <row r="343" spans="1:1">
      <c r="A343" s="44"/>
    </row>
    <row r="344" spans="1:1">
      <c r="A344" s="44"/>
    </row>
    <row r="345" spans="1:1">
      <c r="A345" s="44"/>
    </row>
    <row r="346" spans="1:1">
      <c r="A346" s="44"/>
    </row>
    <row r="347" spans="1:1">
      <c r="A347" s="44"/>
    </row>
    <row r="348" spans="1:1">
      <c r="A348" s="44"/>
    </row>
    <row r="349" spans="1:1">
      <c r="A349" s="44"/>
    </row>
    <row r="350" spans="1:1">
      <c r="A350" s="44"/>
    </row>
    <row r="351" spans="1:1">
      <c r="A351" s="44"/>
    </row>
    <row r="352" spans="1:1">
      <c r="A352" s="44"/>
    </row>
    <row r="353" spans="1:1">
      <c r="A353" s="44"/>
    </row>
    <row r="354" spans="1:1">
      <c r="A354" s="44"/>
    </row>
    <row r="355" spans="1:1">
      <c r="A355" s="44"/>
    </row>
    <row r="356" spans="1:1">
      <c r="A356" s="44"/>
    </row>
    <row r="357" spans="1:1">
      <c r="A357" s="44"/>
    </row>
    <row r="358" spans="1:1">
      <c r="A358" s="44"/>
    </row>
    <row r="359" spans="1:1">
      <c r="A359" s="44"/>
    </row>
    <row r="360" spans="1:1">
      <c r="A360" s="44"/>
    </row>
    <row r="361" spans="1:1">
      <c r="A361" s="44"/>
    </row>
    <row r="362" spans="1:1">
      <c r="A362" s="44"/>
    </row>
    <row r="363" spans="1:1">
      <c r="A363" s="44"/>
    </row>
    <row r="364" spans="1:1">
      <c r="A364" s="44"/>
    </row>
    <row r="365" spans="1:1">
      <c r="A365" s="44"/>
    </row>
    <row r="366" spans="1:1">
      <c r="A366" s="44"/>
    </row>
    <row r="367" spans="1:1">
      <c r="A367" s="44"/>
    </row>
    <row r="368" spans="1:1">
      <c r="A368" s="44"/>
    </row>
    <row r="369" spans="1:1">
      <c r="A369" s="44"/>
    </row>
    <row r="370" spans="1:1">
      <c r="A370" s="44"/>
    </row>
    <row r="371" spans="1:1">
      <c r="A371" s="44"/>
    </row>
    <row r="372" spans="1:1">
      <c r="A372" s="44"/>
    </row>
    <row r="373" spans="1:1">
      <c r="A373" s="44"/>
    </row>
    <row r="374" spans="1:1">
      <c r="A374" s="44"/>
    </row>
    <row r="375" spans="1:1">
      <c r="A375" s="44"/>
    </row>
    <row r="376" spans="1:1">
      <c r="A376" s="44"/>
    </row>
    <row r="377" spans="1:1">
      <c r="A377" s="44"/>
    </row>
    <row r="378" spans="1:1">
      <c r="A378" s="44"/>
    </row>
    <row r="379" spans="1:1">
      <c r="A379" s="44"/>
    </row>
    <row r="380" spans="1:1">
      <c r="A380" s="44"/>
    </row>
    <row r="381" spans="1:1">
      <c r="A381" s="44"/>
    </row>
    <row r="382" spans="1:1">
      <c r="A382" s="44"/>
    </row>
    <row r="383" spans="1:1">
      <c r="A383" s="44"/>
    </row>
    <row r="384" spans="1:1">
      <c r="A384" s="44"/>
    </row>
    <row r="385" spans="1:1">
      <c r="A385" s="44"/>
    </row>
    <row r="386" spans="1:1">
      <c r="A386" s="44"/>
    </row>
    <row r="387" spans="1:1">
      <c r="A387" s="44"/>
    </row>
    <row r="388" spans="1:1">
      <c r="A388" s="44"/>
    </row>
    <row r="389" spans="1:1">
      <c r="A389" s="44"/>
    </row>
    <row r="390" spans="1:1">
      <c r="A390" s="44"/>
    </row>
    <row r="391" spans="1:1">
      <c r="A391" s="44"/>
    </row>
    <row r="392" spans="1:1">
      <c r="A392" s="44"/>
    </row>
    <row r="393" spans="1:1">
      <c r="A393" s="44"/>
    </row>
    <row r="394" spans="1:1">
      <c r="A394" s="44"/>
    </row>
    <row r="395" spans="1:1">
      <c r="A395" s="44"/>
    </row>
    <row r="396" spans="1:1">
      <c r="A396" s="44"/>
    </row>
    <row r="397" spans="1:1">
      <c r="A397" s="44"/>
    </row>
    <row r="398" spans="1:1">
      <c r="A398" s="44"/>
    </row>
    <row r="399" spans="1:1">
      <c r="A399" s="44"/>
    </row>
    <row r="400" spans="1:1">
      <c r="A400" s="44"/>
    </row>
    <row r="401" spans="1:1">
      <c r="A401" s="44"/>
    </row>
    <row r="402" spans="1:1">
      <c r="A402" s="44"/>
    </row>
    <row r="403" spans="1:1">
      <c r="A403" s="44"/>
    </row>
    <row r="404" spans="1:1">
      <c r="A404" s="44"/>
    </row>
    <row r="405" spans="1:1">
      <c r="A405" s="44"/>
    </row>
    <row r="406" spans="1:1">
      <c r="A406" s="44"/>
    </row>
    <row r="407" spans="1:1">
      <c r="A407" s="44"/>
    </row>
    <row r="408" spans="1:1">
      <c r="A408" s="44"/>
    </row>
    <row r="409" spans="1:1">
      <c r="A409" s="44"/>
    </row>
    <row r="410" spans="1:1">
      <c r="A410" s="44"/>
    </row>
    <row r="411" spans="1:1">
      <c r="A411" s="44"/>
    </row>
    <row r="412" spans="1:1">
      <c r="A412" s="44"/>
    </row>
    <row r="413" spans="1:1">
      <c r="A413" s="44"/>
    </row>
    <row r="414" spans="1:1">
      <c r="A414" s="44"/>
    </row>
    <row r="415" spans="1:1">
      <c r="A415" s="44"/>
    </row>
    <row r="416" spans="1:1">
      <c r="A416" s="44"/>
    </row>
    <row r="417" spans="1:1">
      <c r="A417" s="44"/>
    </row>
    <row r="418" spans="1:1">
      <c r="A418" s="44"/>
    </row>
    <row r="419" spans="1:1">
      <c r="A419" s="44"/>
    </row>
    <row r="420" spans="1:1">
      <c r="A420" s="44"/>
    </row>
    <row r="421" spans="1:1">
      <c r="A421" s="44"/>
    </row>
    <row r="422" spans="1:1">
      <c r="A422" s="44"/>
    </row>
    <row r="423" spans="1:1">
      <c r="A423" s="44"/>
    </row>
    <row r="424" spans="1:1">
      <c r="A424" s="44"/>
    </row>
    <row r="425" spans="1:1">
      <c r="A425" s="44"/>
    </row>
    <row r="426" spans="1:1">
      <c r="A426" s="44"/>
    </row>
    <row r="427" spans="1:1">
      <c r="A427" s="44"/>
    </row>
    <row r="428" spans="1:1">
      <c r="A428" s="44"/>
    </row>
    <row r="429" spans="1:1">
      <c r="A429" s="44"/>
    </row>
    <row r="430" spans="1:1">
      <c r="A430" s="44"/>
    </row>
    <row r="431" spans="1:1">
      <c r="A431" s="44"/>
    </row>
    <row r="432" spans="1:1">
      <c r="A432" s="44"/>
    </row>
    <row r="433" spans="1:1">
      <c r="A433" s="44"/>
    </row>
    <row r="434" spans="1:1">
      <c r="A434" s="44"/>
    </row>
    <row r="435" spans="1:1">
      <c r="A435" s="44"/>
    </row>
    <row r="436" spans="1:1">
      <c r="A436" s="44"/>
    </row>
    <row r="437" spans="1:1">
      <c r="A437" s="44"/>
    </row>
    <row r="438" spans="1:1">
      <c r="A438" s="44"/>
    </row>
    <row r="439" spans="1:1">
      <c r="A439" s="44"/>
    </row>
    <row r="440" spans="1:1">
      <c r="A440" s="44"/>
    </row>
    <row r="441" spans="1:1">
      <c r="A441" s="44"/>
    </row>
    <row r="442" spans="1:1">
      <c r="A442" s="44"/>
    </row>
    <row r="443" spans="1:1">
      <c r="A443" s="44"/>
    </row>
    <row r="444" spans="1:1">
      <c r="A444" s="44"/>
    </row>
    <row r="445" spans="1:1">
      <c r="A445" s="44"/>
    </row>
    <row r="446" spans="1:1">
      <c r="A446" s="44"/>
    </row>
    <row r="447" spans="1:1">
      <c r="A447" s="44"/>
    </row>
    <row r="448" spans="1:1">
      <c r="A448" s="44"/>
    </row>
    <row r="449" spans="1:1">
      <c r="A449" s="44"/>
    </row>
    <row r="450" spans="1:1">
      <c r="A450" s="44"/>
    </row>
    <row r="451" spans="1:1">
      <c r="A451" s="44"/>
    </row>
    <row r="452" spans="1:1">
      <c r="A452" s="44"/>
    </row>
    <row r="453" spans="1:1">
      <c r="A453" s="44"/>
    </row>
    <row r="454" spans="1:1">
      <c r="A454" s="44"/>
    </row>
    <row r="455" spans="1:1">
      <c r="A455" s="44"/>
    </row>
    <row r="456" spans="1:1">
      <c r="A456" s="44"/>
    </row>
    <row r="457" spans="1:1">
      <c r="A457" s="44"/>
    </row>
    <row r="458" spans="1:1">
      <c r="A458" s="44"/>
    </row>
    <row r="459" spans="1:1">
      <c r="A459" s="44"/>
    </row>
    <row r="460" spans="1:1">
      <c r="A460" s="44"/>
    </row>
    <row r="461" spans="1:1">
      <c r="A461" s="44"/>
    </row>
    <row r="462" spans="1:1">
      <c r="A462" s="44"/>
    </row>
    <row r="463" spans="1:1">
      <c r="A463" s="44"/>
    </row>
    <row r="464" spans="1:1">
      <c r="A464" s="44"/>
    </row>
    <row r="465" spans="1:1">
      <c r="A465" s="44"/>
    </row>
    <row r="466" spans="1:1">
      <c r="A466" s="44"/>
    </row>
    <row r="467" spans="1:1">
      <c r="A467" s="44"/>
    </row>
    <row r="468" spans="1:1">
      <c r="A468" s="44"/>
    </row>
    <row r="469" spans="1:1">
      <c r="A469" s="44"/>
    </row>
    <row r="470" spans="1:1">
      <c r="A470" s="44"/>
    </row>
    <row r="471" spans="1:1">
      <c r="A471" s="44"/>
    </row>
    <row r="472" spans="1:1">
      <c r="A472" s="44"/>
    </row>
    <row r="473" spans="1:1">
      <c r="A473" s="44"/>
    </row>
    <row r="474" spans="1:1">
      <c r="A474" s="44"/>
    </row>
    <row r="475" spans="1:1">
      <c r="A475" s="44"/>
    </row>
    <row r="476" spans="1:1">
      <c r="A476" s="44"/>
    </row>
    <row r="477" spans="1:1">
      <c r="A477" s="44"/>
    </row>
    <row r="478" spans="1:1">
      <c r="A478" s="44"/>
    </row>
    <row r="479" spans="1:1">
      <c r="A479" s="44"/>
    </row>
    <row r="480" spans="1:1">
      <c r="A480" s="44"/>
    </row>
    <row r="481" spans="1:1">
      <c r="A481" s="44"/>
    </row>
    <row r="482" spans="1:1">
      <c r="A482" s="44"/>
    </row>
    <row r="483" spans="1:1">
      <c r="A483" s="44"/>
    </row>
    <row r="484" spans="1:1">
      <c r="A484" s="44"/>
    </row>
    <row r="485" spans="1:1">
      <c r="A485" s="44"/>
    </row>
    <row r="486" spans="1:1">
      <c r="A486" s="44"/>
    </row>
    <row r="487" spans="1:1">
      <c r="A487" s="44"/>
    </row>
    <row r="488" spans="1:1">
      <c r="A488" s="44"/>
    </row>
    <row r="489" spans="1:1">
      <c r="A489" s="44"/>
    </row>
    <row r="490" spans="1:1">
      <c r="A490" s="44"/>
    </row>
    <row r="491" spans="1:1">
      <c r="A491" s="44"/>
    </row>
    <row r="492" spans="1:1">
      <c r="A492" s="44"/>
    </row>
    <row r="493" spans="1:1">
      <c r="A493" s="44"/>
    </row>
    <row r="494" spans="1:1">
      <c r="A494" s="44"/>
    </row>
    <row r="495" spans="1:1">
      <c r="A495" s="44"/>
    </row>
    <row r="496" spans="1:1">
      <c r="A496" s="44"/>
    </row>
    <row r="497" spans="1:1">
      <c r="A497" s="44"/>
    </row>
    <row r="498" spans="1:1">
      <c r="A498" s="44"/>
    </row>
    <row r="499" spans="1:1">
      <c r="A499" s="44"/>
    </row>
    <row r="500" spans="1:1">
      <c r="A500" s="44"/>
    </row>
    <row r="501" spans="1:1">
      <c r="A501" s="44"/>
    </row>
    <row r="502" spans="1:1">
      <c r="A502" s="44"/>
    </row>
    <row r="503" spans="1:1">
      <c r="A503" s="44"/>
    </row>
    <row r="504" spans="1:1">
      <c r="A504" s="44"/>
    </row>
    <row r="505" spans="1:1">
      <c r="A505" s="44"/>
    </row>
    <row r="506" spans="1:1">
      <c r="A506" s="44"/>
    </row>
    <row r="507" spans="1:1">
      <c r="A507" s="44"/>
    </row>
    <row r="508" spans="1:1">
      <c r="A508" s="44"/>
    </row>
    <row r="509" spans="1:1">
      <c r="A509" s="44"/>
    </row>
    <row r="510" spans="1:1">
      <c r="A510" s="44"/>
    </row>
    <row r="511" spans="1:1">
      <c r="A511" s="44"/>
    </row>
    <row r="512" spans="1:1">
      <c r="A512" s="44"/>
    </row>
    <row r="513" spans="1:1">
      <c r="A513" s="44"/>
    </row>
    <row r="514" spans="1:1">
      <c r="A514" s="44"/>
    </row>
    <row r="515" spans="1:1">
      <c r="A515" s="44"/>
    </row>
    <row r="516" spans="1:1">
      <c r="A516" s="44"/>
    </row>
    <row r="517" spans="1:1">
      <c r="A517" s="44"/>
    </row>
    <row r="518" spans="1:1">
      <c r="A518" s="44"/>
    </row>
    <row r="519" spans="1:1">
      <c r="A519" s="44"/>
    </row>
    <row r="520" spans="1:1">
      <c r="A520" s="44"/>
    </row>
    <row r="521" spans="1:1">
      <c r="A521" s="44"/>
    </row>
    <row r="522" spans="1:1">
      <c r="A522" s="44"/>
    </row>
    <row r="523" spans="1:1">
      <c r="A523" s="44"/>
    </row>
    <row r="524" spans="1:1">
      <c r="A524" s="44"/>
    </row>
    <row r="525" spans="1:1">
      <c r="A525" s="44"/>
    </row>
    <row r="526" spans="1:1">
      <c r="A526" s="44"/>
    </row>
    <row r="527" spans="1:1">
      <c r="A527" s="44"/>
    </row>
    <row r="528" spans="1:1">
      <c r="A528" s="44"/>
    </row>
    <row r="529" spans="1:1">
      <c r="A529" s="44"/>
    </row>
    <row r="530" spans="1:1">
      <c r="A530" s="44"/>
    </row>
    <row r="531" spans="1:1">
      <c r="A531" s="44"/>
    </row>
    <row r="532" spans="1:1">
      <c r="A532" s="44"/>
    </row>
    <row r="533" spans="1:1">
      <c r="A533" s="44"/>
    </row>
    <row r="534" spans="1:1">
      <c r="A534" s="44"/>
    </row>
    <row r="535" spans="1:1">
      <c r="A535" s="44"/>
    </row>
    <row r="536" spans="1:1">
      <c r="A536" s="44"/>
    </row>
    <row r="537" spans="1:1">
      <c r="A537" s="44"/>
    </row>
    <row r="538" spans="1:1">
      <c r="A538" s="44"/>
    </row>
    <row r="539" spans="1:1">
      <c r="A539" s="44"/>
    </row>
    <row r="540" spans="1:1">
      <c r="A540" s="44"/>
    </row>
    <row r="541" spans="1:1">
      <c r="A541" s="44"/>
    </row>
    <row r="542" spans="1:1">
      <c r="A542" s="44"/>
    </row>
    <row r="543" spans="1:1">
      <c r="A543" s="44"/>
    </row>
    <row r="544" spans="1:1">
      <c r="A544" s="44"/>
    </row>
    <row r="545" spans="1:1">
      <c r="A545" s="44"/>
    </row>
    <row r="546" spans="1:1">
      <c r="A546" s="44"/>
    </row>
    <row r="547" spans="1:1">
      <c r="A547" s="44"/>
    </row>
    <row r="548" spans="1:1">
      <c r="A548" s="44"/>
    </row>
    <row r="549" spans="1:1">
      <c r="A549" s="44"/>
    </row>
    <row r="550" spans="1:1">
      <c r="A550" s="44"/>
    </row>
    <row r="551" spans="1:1">
      <c r="A551" s="44"/>
    </row>
    <row r="552" spans="1:1">
      <c r="A552" s="44"/>
    </row>
    <row r="553" spans="1:1">
      <c r="A553" s="44"/>
    </row>
    <row r="554" spans="1:1">
      <c r="A554" s="44"/>
    </row>
    <row r="555" spans="1:1">
      <c r="A555" s="44"/>
    </row>
    <row r="556" spans="1:1">
      <c r="A556" s="44"/>
    </row>
    <row r="557" spans="1:1">
      <c r="A557" s="44"/>
    </row>
    <row r="558" spans="1:1">
      <c r="A558" s="44"/>
    </row>
    <row r="559" spans="1:1">
      <c r="A559" s="44"/>
    </row>
    <row r="560" spans="1:1">
      <c r="A560" s="44"/>
    </row>
    <row r="561" spans="1:1">
      <c r="A561" s="44"/>
    </row>
    <row r="562" spans="1:1">
      <c r="A562" s="44"/>
    </row>
    <row r="563" spans="1:1">
      <c r="A563" s="44"/>
    </row>
    <row r="564" spans="1:1">
      <c r="A564" s="44"/>
    </row>
    <row r="565" spans="1:1">
      <c r="A565" s="44"/>
    </row>
    <row r="566" spans="1:1">
      <c r="A566" s="44"/>
    </row>
    <row r="567" spans="1:1">
      <c r="A567" s="44"/>
    </row>
    <row r="568" spans="1:1">
      <c r="A568" s="44"/>
    </row>
    <row r="569" spans="1:1">
      <c r="A569" s="44"/>
    </row>
    <row r="570" spans="1:1">
      <c r="A570" s="44"/>
    </row>
    <row r="571" spans="1:1">
      <c r="A571" s="44"/>
    </row>
    <row r="572" spans="1:1">
      <c r="A572" s="44"/>
    </row>
    <row r="573" spans="1:1">
      <c r="A573" s="44"/>
    </row>
    <row r="574" spans="1:1">
      <c r="A574" s="44"/>
    </row>
    <row r="575" spans="1:1">
      <c r="A575" s="44"/>
    </row>
    <row r="576" spans="1:1">
      <c r="A576" s="44"/>
    </row>
    <row r="577" spans="1:1">
      <c r="A577" s="44"/>
    </row>
    <row r="578" spans="1:1">
      <c r="A578" s="44"/>
    </row>
    <row r="579" spans="1:1">
      <c r="A579" s="44"/>
    </row>
    <row r="580" spans="1:1">
      <c r="A580" s="44"/>
    </row>
    <row r="581" spans="1:1">
      <c r="A581" s="44"/>
    </row>
    <row r="582" spans="1:1">
      <c r="A582" s="44"/>
    </row>
    <row r="583" spans="1:1">
      <c r="A583" s="44"/>
    </row>
    <row r="584" spans="1:1">
      <c r="A584" s="44"/>
    </row>
    <row r="585" spans="1:1">
      <c r="A585" s="44"/>
    </row>
    <row r="586" spans="1:1">
      <c r="A586" s="44"/>
    </row>
    <row r="587" spans="1:1">
      <c r="A587" s="44"/>
    </row>
    <row r="588" spans="1:1">
      <c r="A588" s="44"/>
    </row>
    <row r="589" spans="1:1">
      <c r="A589" s="44"/>
    </row>
    <row r="590" spans="1:1">
      <c r="A590" s="44"/>
    </row>
    <row r="591" spans="1:1">
      <c r="A591" s="44"/>
    </row>
    <row r="592" spans="1:1">
      <c r="A592" s="44"/>
    </row>
    <row r="593" spans="1:1">
      <c r="A593" s="44"/>
    </row>
    <row r="594" spans="1:1">
      <c r="A594" s="44"/>
    </row>
    <row r="595" spans="1:1">
      <c r="A595" s="44"/>
    </row>
    <row r="596" spans="1:1">
      <c r="A596" s="44"/>
    </row>
    <row r="597" spans="1:1">
      <c r="A597" s="44"/>
    </row>
    <row r="598" spans="1:1">
      <c r="A598" s="44"/>
    </row>
    <row r="599" spans="1:1">
      <c r="A599" s="44"/>
    </row>
    <row r="600" spans="1:1">
      <c r="A600" s="44"/>
    </row>
    <row r="601" spans="1:1">
      <c r="A601" s="44"/>
    </row>
    <row r="602" spans="1:1">
      <c r="A602" s="44"/>
    </row>
    <row r="603" spans="1:1">
      <c r="A603" s="44"/>
    </row>
    <row r="604" spans="1:1">
      <c r="A604" s="44"/>
    </row>
    <row r="605" spans="1:1">
      <c r="A605" s="44"/>
    </row>
    <row r="606" spans="1:1">
      <c r="A606" s="44"/>
    </row>
    <row r="607" spans="1:1">
      <c r="A607" s="44"/>
    </row>
    <row r="608" spans="1:1">
      <c r="A608" s="44"/>
    </row>
    <row r="609" spans="1:1">
      <c r="A609" s="44"/>
    </row>
    <row r="610" spans="1:1">
      <c r="A610" s="44"/>
    </row>
    <row r="611" spans="1:1">
      <c r="A611" s="44"/>
    </row>
    <row r="612" spans="1:1">
      <c r="A612" s="44"/>
    </row>
    <row r="613" spans="1:1">
      <c r="A613" s="44"/>
    </row>
    <row r="614" spans="1:1">
      <c r="A614" s="44"/>
    </row>
    <row r="615" spans="1:1">
      <c r="A615" s="44"/>
    </row>
    <row r="616" spans="1:1">
      <c r="A616" s="44"/>
    </row>
    <row r="617" spans="1:1">
      <c r="A617" s="44"/>
    </row>
    <row r="618" spans="1:1">
      <c r="A618" s="44"/>
    </row>
    <row r="619" spans="1:1">
      <c r="A619" s="44"/>
    </row>
    <row r="620" spans="1:1">
      <c r="A620" s="44"/>
    </row>
    <row r="621" spans="1:1">
      <c r="A621" s="44"/>
    </row>
    <row r="622" spans="1:1">
      <c r="A622" s="44"/>
    </row>
    <row r="623" spans="1:1">
      <c r="A623" s="44"/>
    </row>
    <row r="624" spans="1:1">
      <c r="A624" s="44"/>
    </row>
    <row r="625" spans="1:1">
      <c r="A625" s="44"/>
    </row>
    <row r="626" spans="1:1">
      <c r="A626" s="44"/>
    </row>
    <row r="627" spans="1:1">
      <c r="A627" s="44"/>
    </row>
    <row r="628" spans="1:1">
      <c r="A628" s="44"/>
    </row>
    <row r="629" spans="1:1">
      <c r="A629" s="44"/>
    </row>
    <row r="630" spans="1:1">
      <c r="A630" s="44"/>
    </row>
    <row r="631" spans="1:1">
      <c r="A631" s="44"/>
    </row>
    <row r="632" spans="1:1">
      <c r="A632" s="44"/>
    </row>
    <row r="633" spans="1:1">
      <c r="A633" s="44"/>
    </row>
    <row r="634" spans="1:1">
      <c r="A634" s="44"/>
    </row>
    <row r="635" spans="1:1">
      <c r="A635" s="44"/>
    </row>
    <row r="636" spans="1:1">
      <c r="A636" s="44"/>
    </row>
    <row r="637" spans="1:1">
      <c r="A637" s="44"/>
    </row>
    <row r="638" spans="1:1">
      <c r="A638" s="44"/>
    </row>
    <row r="639" spans="1:1">
      <c r="A639" s="44"/>
    </row>
    <row r="640" spans="1:1">
      <c r="A640" s="44"/>
    </row>
    <row r="641" spans="1:1">
      <c r="A641" s="44"/>
    </row>
    <row r="642" spans="1:1">
      <c r="A642" s="44"/>
    </row>
    <row r="643" spans="1:1">
      <c r="A643" s="44"/>
    </row>
    <row r="644" spans="1:1">
      <c r="A644" s="44"/>
    </row>
    <row r="645" spans="1:1">
      <c r="A645" s="44"/>
    </row>
    <row r="646" spans="1:1">
      <c r="A646" s="44"/>
    </row>
    <row r="647" spans="1:1">
      <c r="A647" s="44"/>
    </row>
    <row r="648" spans="1:1">
      <c r="A648" s="44"/>
    </row>
    <row r="649" spans="1:1">
      <c r="A649" s="44"/>
    </row>
    <row r="650" spans="1:1">
      <c r="A650" s="44"/>
    </row>
    <row r="651" spans="1:1">
      <c r="A651" s="44"/>
    </row>
    <row r="652" spans="1:1">
      <c r="A652" s="44"/>
    </row>
    <row r="653" spans="1:1">
      <c r="A653" s="44"/>
    </row>
    <row r="654" spans="1:1">
      <c r="A654" s="44"/>
    </row>
    <row r="655" spans="1:1">
      <c r="A655" s="44"/>
    </row>
    <row r="656" spans="1:1">
      <c r="A656" s="44"/>
    </row>
    <row r="657" spans="1:1">
      <c r="A657" s="44"/>
    </row>
    <row r="658" spans="1:1">
      <c r="A658" s="44"/>
    </row>
    <row r="659" spans="1:1">
      <c r="A659" s="44"/>
    </row>
    <row r="660" spans="1:1">
      <c r="A660" s="44"/>
    </row>
    <row r="661" spans="1:1">
      <c r="A661" s="44"/>
    </row>
    <row r="662" spans="1:1">
      <c r="A662" s="44"/>
    </row>
    <row r="663" spans="1:1">
      <c r="A663" s="44"/>
    </row>
    <row r="664" spans="1:1">
      <c r="A664" s="44"/>
    </row>
    <row r="665" spans="1:1">
      <c r="A665" s="44"/>
    </row>
    <row r="666" spans="1:1">
      <c r="A666" s="44"/>
    </row>
    <row r="667" spans="1:1">
      <c r="A667" s="44"/>
    </row>
    <row r="668" spans="1:1">
      <c r="A668" s="44"/>
    </row>
    <row r="669" spans="1:1">
      <c r="A669" s="44"/>
    </row>
    <row r="670" spans="1:1">
      <c r="A670" s="44"/>
    </row>
    <row r="671" spans="1:1">
      <c r="A671" s="44"/>
    </row>
    <row r="672" spans="1:1">
      <c r="A672" s="44"/>
    </row>
    <row r="673" spans="1:1">
      <c r="A673" s="44"/>
    </row>
    <row r="674" spans="1:1">
      <c r="A674" s="44"/>
    </row>
    <row r="675" spans="1:1">
      <c r="A675" s="44"/>
    </row>
    <row r="676" spans="1:1">
      <c r="A676" s="44"/>
    </row>
    <row r="677" spans="1:1">
      <c r="A677" s="44"/>
    </row>
    <row r="678" spans="1:1">
      <c r="A678" s="44"/>
    </row>
    <row r="679" spans="1:1">
      <c r="A679" s="44"/>
    </row>
    <row r="680" spans="1:1">
      <c r="A680" s="44"/>
    </row>
    <row r="681" spans="1:1">
      <c r="A681" s="44"/>
    </row>
    <row r="682" spans="1:1">
      <c r="A682" s="44"/>
    </row>
    <row r="683" spans="1:1">
      <c r="A683" s="44"/>
    </row>
    <row r="684" spans="1:1">
      <c r="A684" s="44"/>
    </row>
    <row r="685" spans="1:1">
      <c r="A685" s="44"/>
    </row>
    <row r="686" spans="1:1">
      <c r="A686" s="44"/>
    </row>
    <row r="687" spans="1:1">
      <c r="A687" s="44"/>
    </row>
    <row r="688" spans="1:1">
      <c r="A688" s="44"/>
    </row>
    <row r="689" spans="1:1">
      <c r="A689" s="44"/>
    </row>
    <row r="690" spans="1:1">
      <c r="A690" s="44"/>
    </row>
    <row r="691" spans="1:1">
      <c r="A691" s="44"/>
    </row>
    <row r="692" spans="1:1">
      <c r="A692" s="44"/>
    </row>
    <row r="693" spans="1:1">
      <c r="A693" s="44"/>
    </row>
    <row r="694" spans="1:1">
      <c r="A694" s="44"/>
    </row>
    <row r="695" spans="1:1">
      <c r="A695" s="44"/>
    </row>
    <row r="696" spans="1:1">
      <c r="A696" s="44"/>
    </row>
    <row r="697" spans="1:1">
      <c r="A697" s="44"/>
    </row>
    <row r="698" spans="1:1">
      <c r="A698" s="44"/>
    </row>
    <row r="699" spans="1:1">
      <c r="A699" s="44"/>
    </row>
    <row r="700" spans="1:1">
      <c r="A700" s="44"/>
    </row>
    <row r="701" spans="1:1">
      <c r="A701" s="44"/>
    </row>
    <row r="702" spans="1:1">
      <c r="A702" s="44"/>
    </row>
    <row r="703" spans="1:1">
      <c r="A703" s="44"/>
    </row>
    <row r="704" spans="1:1">
      <c r="A704" s="44"/>
    </row>
    <row r="705" spans="1:1">
      <c r="A705" s="44"/>
    </row>
    <row r="706" spans="1:1">
      <c r="A706" s="44"/>
    </row>
    <row r="707" spans="1:1">
      <c r="A707" s="44"/>
    </row>
    <row r="708" spans="1:1">
      <c r="A708" s="44"/>
    </row>
    <row r="709" spans="1:1">
      <c r="A709" s="44"/>
    </row>
    <row r="710" spans="1:1">
      <c r="A710" s="44"/>
    </row>
    <row r="711" spans="1:1">
      <c r="A711" s="44"/>
    </row>
    <row r="712" spans="1:1">
      <c r="A712" s="44"/>
    </row>
    <row r="713" spans="1:1">
      <c r="A713" s="44"/>
    </row>
    <row r="714" spans="1:1">
      <c r="A714" s="44"/>
    </row>
    <row r="715" spans="1:1">
      <c r="A715" s="44"/>
    </row>
    <row r="716" spans="1:1">
      <c r="A716" s="44"/>
    </row>
    <row r="717" spans="1:1">
      <c r="A717" s="44"/>
    </row>
    <row r="718" spans="1:1">
      <c r="A718" s="44"/>
    </row>
    <row r="719" spans="1:1">
      <c r="A719" s="44"/>
    </row>
    <row r="720" spans="1:1">
      <c r="A720" s="44"/>
    </row>
    <row r="721" spans="1:1">
      <c r="A721" s="44"/>
    </row>
    <row r="722" spans="1:1">
      <c r="A722" s="44"/>
    </row>
    <row r="723" spans="1:1">
      <c r="A723" s="44"/>
    </row>
    <row r="724" spans="1:1">
      <c r="A724" s="44"/>
    </row>
    <row r="725" spans="1:1">
      <c r="A725" s="44"/>
    </row>
    <row r="726" spans="1:1">
      <c r="A726" s="44"/>
    </row>
    <row r="727" spans="1:1">
      <c r="A727" s="44"/>
    </row>
    <row r="728" spans="1:1">
      <c r="A728" s="44"/>
    </row>
    <row r="729" spans="1:1">
      <c r="A729" s="44"/>
    </row>
    <row r="730" spans="1:1">
      <c r="A730" s="44"/>
    </row>
    <row r="731" spans="1:1">
      <c r="A731" s="44"/>
    </row>
    <row r="732" spans="1:1">
      <c r="A732" s="44"/>
    </row>
    <row r="733" spans="1:1">
      <c r="A733" s="44"/>
    </row>
    <row r="734" spans="1:1">
      <c r="A734" s="44"/>
    </row>
    <row r="735" spans="1:1">
      <c r="A735" s="44"/>
    </row>
    <row r="736" spans="1:1">
      <c r="A736" s="44"/>
    </row>
    <row r="737" spans="1:1">
      <c r="A737" s="44"/>
    </row>
    <row r="738" spans="1:1">
      <c r="A738" s="44"/>
    </row>
    <row r="739" spans="1:1">
      <c r="A739" s="44"/>
    </row>
    <row r="740" spans="1:1">
      <c r="A740" s="44"/>
    </row>
    <row r="741" spans="1:1">
      <c r="A741" s="44"/>
    </row>
    <row r="742" spans="1:1">
      <c r="A742" s="44"/>
    </row>
    <row r="743" spans="1:1">
      <c r="A743" s="44"/>
    </row>
    <row r="744" spans="1:1">
      <c r="A744" s="44"/>
    </row>
    <row r="745" spans="1:1">
      <c r="A745" s="44"/>
    </row>
    <row r="746" spans="1:1">
      <c r="A746" s="44"/>
    </row>
    <row r="747" spans="1:1">
      <c r="A747" s="44"/>
    </row>
    <row r="748" spans="1:1">
      <c r="A748" s="44"/>
    </row>
    <row r="749" spans="1:1">
      <c r="A749" s="44"/>
    </row>
    <row r="750" spans="1:1">
      <c r="A750" s="44"/>
    </row>
    <row r="751" spans="1:1">
      <c r="A751" s="44"/>
    </row>
    <row r="752" spans="1:1">
      <c r="A752" s="44"/>
    </row>
    <row r="753" spans="1:1">
      <c r="A753" s="44"/>
    </row>
    <row r="754" spans="1:1">
      <c r="A754" s="44"/>
    </row>
    <row r="755" spans="1:1">
      <c r="A755" s="44"/>
    </row>
    <row r="756" spans="1:1">
      <c r="A756" s="44"/>
    </row>
    <row r="757" spans="1:1">
      <c r="A757" s="44"/>
    </row>
    <row r="758" spans="1:1">
      <c r="A758" s="44"/>
    </row>
    <row r="759" spans="1:1">
      <c r="A759" s="44"/>
    </row>
    <row r="760" spans="1:1">
      <c r="A760" s="44"/>
    </row>
    <row r="761" spans="1:1">
      <c r="A761" s="44"/>
    </row>
    <row r="762" spans="1:1">
      <c r="A762" s="44"/>
    </row>
    <row r="763" spans="1:1">
      <c r="A763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0C13-75A6-439C-9EA2-16E1259120D3}">
  <sheetPr codeName="Blad8"/>
  <dimension ref="B2:L22"/>
  <sheetViews>
    <sheetView workbookViewId="0">
      <selection activeCell="F25" sqref="F25"/>
    </sheetView>
  </sheetViews>
  <sheetFormatPr defaultRowHeight="13.2"/>
  <cols>
    <col min="4" max="4" width="18.44140625" style="60" bestFit="1" customWidth="1"/>
    <col min="5" max="6" width="18.44140625" style="60" customWidth="1"/>
    <col min="7" max="7" width="18.33203125" style="60" bestFit="1" customWidth="1"/>
    <col min="8" max="8" width="21.5546875" bestFit="1" customWidth="1"/>
    <col min="9" max="9" width="9.33203125" bestFit="1" customWidth="1"/>
  </cols>
  <sheetData>
    <row r="2" spans="2:12">
      <c r="B2" t="s">
        <v>156</v>
      </c>
      <c r="C2" t="s">
        <v>116</v>
      </c>
      <c r="D2" s="60" t="s">
        <v>155</v>
      </c>
      <c r="E2" s="60" t="s">
        <v>172</v>
      </c>
      <c r="G2" s="64" t="s">
        <v>160</v>
      </c>
      <c r="H2" s="63" t="s">
        <v>158</v>
      </c>
      <c r="I2" t="s">
        <v>157</v>
      </c>
      <c r="K2" t="s">
        <v>155</v>
      </c>
      <c r="L2" s="63" t="s">
        <v>159</v>
      </c>
    </row>
    <row r="3" spans="2:12" ht="13.8">
      <c r="B3" s="55">
        <v>2021</v>
      </c>
      <c r="C3" s="56">
        <v>870.58700000000101</v>
      </c>
      <c r="K3" s="57">
        <v>2.2499999999999999E-2</v>
      </c>
      <c r="L3" s="67">
        <v>-2.5000000000000001E-2</v>
      </c>
    </row>
    <row r="4" spans="2:12" ht="13.8">
      <c r="B4" s="55">
        <v>2022</v>
      </c>
      <c r="C4" s="56">
        <v>958.54899999999998</v>
      </c>
    </row>
    <row r="5" spans="2:12" ht="13.8">
      <c r="B5" s="55">
        <v>2023</v>
      </c>
      <c r="C5" s="56">
        <v>1028.2064855439401</v>
      </c>
      <c r="D5" s="60">
        <v>1</v>
      </c>
      <c r="E5" s="56">
        <v>1</v>
      </c>
      <c r="F5" s="56">
        <v>1</v>
      </c>
      <c r="H5" s="59"/>
    </row>
    <row r="6" spans="2:12" ht="13.8">
      <c r="B6" s="55">
        <v>2024</v>
      </c>
      <c r="C6" s="56">
        <v>1077.22762239701</v>
      </c>
      <c r="D6" s="60">
        <f t="shared" ref="D6:D10" si="0">D5*(1+$K$3)</f>
        <v>1.0225</v>
      </c>
      <c r="E6" s="56">
        <v>3.2968544920539002E-2</v>
      </c>
      <c r="F6" s="56">
        <f>F5*(1+E6)</f>
        <v>1.032968544920539</v>
      </c>
      <c r="G6" s="60">
        <f>$G$19/4*F6</f>
        <v>-6.6381559828136565</v>
      </c>
      <c r="H6" s="59"/>
    </row>
    <row r="7" spans="2:12" ht="13.8">
      <c r="B7" s="55">
        <v>2025</v>
      </c>
      <c r="C7" s="56">
        <v>1115.22694917944</v>
      </c>
      <c r="D7" s="60">
        <f t="shared" si="0"/>
        <v>1.0455062499999999</v>
      </c>
      <c r="E7" s="56">
        <v>2.3504808331396499E-2</v>
      </c>
      <c r="F7" s="56">
        <f t="shared" ref="F7:F10" si="1">F6*(1+E7)</f>
        <v>1.0572482725812578</v>
      </c>
      <c r="G7" s="60">
        <f>$G$19/4*F7</f>
        <v>-6.7941845668636045</v>
      </c>
      <c r="H7" s="59">
        <f>C7/D7</f>
        <v>1066.6860663716168</v>
      </c>
    </row>
    <row r="8" spans="2:12" ht="13.8">
      <c r="B8" s="55">
        <v>2026</v>
      </c>
      <c r="C8" s="56">
        <v>1160.63610753597</v>
      </c>
      <c r="D8" s="60">
        <f t="shared" si="0"/>
        <v>1.0690301406249998</v>
      </c>
      <c r="E8" s="56">
        <v>2.9394079983533099E-2</v>
      </c>
      <c r="F8" s="56">
        <f t="shared" si="1"/>
        <v>1.0883251128679634</v>
      </c>
      <c r="G8" s="60">
        <f>$G$19/4*F8</f>
        <v>-6.9938933714448792</v>
      </c>
      <c r="H8" s="59">
        <f>C8/D8</f>
        <v>1085.6907241711758</v>
      </c>
    </row>
    <row r="9" spans="2:12" ht="13.8">
      <c r="B9" s="55">
        <v>2027</v>
      </c>
      <c r="C9" s="56">
        <v>1206.08571845492</v>
      </c>
      <c r="D9" s="60">
        <f t="shared" si="0"/>
        <v>1.0930833187890623</v>
      </c>
      <c r="E9" s="56">
        <v>2.7852844094772702E-2</v>
      </c>
      <c r="F9" s="56">
        <f t="shared" si="1"/>
        <v>1.1186380625611008</v>
      </c>
      <c r="G9" s="60">
        <f>$G$19/4*F9</f>
        <v>-7.1886931931351974</v>
      </c>
      <c r="H9" s="59">
        <f>C9/D9</f>
        <v>1103.3794933318018</v>
      </c>
      <c r="I9" s="61" t="s">
        <v>157</v>
      </c>
      <c r="J9" s="63" t="s">
        <v>161</v>
      </c>
    </row>
    <row r="10" spans="2:12" ht="13.8">
      <c r="B10" s="55">
        <v>2028</v>
      </c>
      <c r="C10" s="56">
        <v>1249.0917909233201</v>
      </c>
      <c r="D10" s="60">
        <f t="shared" si="0"/>
        <v>1.1176776934618162</v>
      </c>
      <c r="E10" s="56">
        <v>2.43892767923863E-2</v>
      </c>
      <c r="F10" s="56">
        <f t="shared" si="1"/>
        <v>1.1459208358994022</v>
      </c>
      <c r="H10" s="59"/>
      <c r="I10" s="62">
        <f>AVERAGE(H7:H10)</f>
        <v>1085.2520946248649</v>
      </c>
      <c r="J10" s="59">
        <f>I10*L3</f>
        <v>-27.131302365621622</v>
      </c>
      <c r="K10" s="59"/>
    </row>
    <row r="11" spans="2:12" s="54" customFormat="1" ht="13.8">
      <c r="B11" s="55">
        <v>2029</v>
      </c>
      <c r="C11" s="56">
        <f>C10*1.03</f>
        <v>1286.5645446510198</v>
      </c>
      <c r="D11" s="60"/>
      <c r="E11" s="60"/>
      <c r="F11" s="60"/>
      <c r="G11" s="60"/>
      <c r="H11" s="59"/>
      <c r="I11" s="62"/>
      <c r="J11" s="59"/>
      <c r="K11" s="59"/>
    </row>
    <row r="12" spans="2:12" s="54" customFormat="1" ht="13.8">
      <c r="B12" s="55">
        <v>2030</v>
      </c>
      <c r="C12" s="56">
        <f t="shared" ref="C12:C14" si="2">C11*1.03</f>
        <v>1325.1614809905504</v>
      </c>
      <c r="D12" s="60"/>
      <c r="E12" s="60"/>
      <c r="F12" s="60"/>
      <c r="G12" s="60"/>
      <c r="H12" s="59"/>
      <c r="I12" s="62"/>
      <c r="J12" s="59"/>
      <c r="K12" s="59"/>
    </row>
    <row r="13" spans="2:12" s="54" customFormat="1" ht="13.8">
      <c r="B13" s="55">
        <v>2031</v>
      </c>
      <c r="C13" s="56">
        <f t="shared" si="2"/>
        <v>1364.916325420267</v>
      </c>
      <c r="D13" s="60"/>
      <c r="E13" s="60"/>
      <c r="F13" s="60"/>
      <c r="G13" s="60"/>
      <c r="H13" s="59"/>
      <c r="I13" s="62"/>
      <c r="J13" s="59"/>
      <c r="K13" s="59"/>
    </row>
    <row r="14" spans="2:12" s="54" customFormat="1" ht="13.8">
      <c r="B14" s="55">
        <v>2032</v>
      </c>
      <c r="C14" s="56">
        <f t="shared" si="2"/>
        <v>1405.863815182875</v>
      </c>
      <c r="D14" s="60"/>
      <c r="E14" s="60"/>
      <c r="F14" s="60"/>
      <c r="G14" s="60"/>
      <c r="H14" s="59"/>
      <c r="I14" s="62"/>
      <c r="J14" s="59"/>
      <c r="K14" s="59"/>
    </row>
    <row r="15" spans="2:12" s="54" customFormat="1" ht="13.8">
      <c r="B15" s="55"/>
      <c r="C15" s="56"/>
      <c r="D15" s="60"/>
      <c r="E15" s="60"/>
      <c r="F15" s="60"/>
      <c r="G15" s="60"/>
      <c r="H15" s="59"/>
      <c r="I15" s="62"/>
      <c r="J15" s="59"/>
      <c r="K15" s="59"/>
    </row>
    <row r="17" spans="5:9">
      <c r="E17" s="64"/>
      <c r="F17" s="158" t="s">
        <v>163</v>
      </c>
      <c r="G17" s="154">
        <f>SUM(G6:G10)</f>
        <v>-27.614927114257338</v>
      </c>
      <c r="H17" s="59">
        <f>H10*L3</f>
        <v>0</v>
      </c>
      <c r="I17" s="65"/>
    </row>
    <row r="18" spans="5:9">
      <c r="F18" s="159"/>
    </row>
    <row r="19" spans="5:9">
      <c r="F19" s="159" t="s">
        <v>162</v>
      </c>
      <c r="G19" s="48">
        <f>L3*C5</f>
        <v>-25.705162138598503</v>
      </c>
    </row>
    <row r="20" spans="5:9">
      <c r="E20" s="63"/>
      <c r="F20" s="61"/>
    </row>
    <row r="21" spans="5:9">
      <c r="E21" s="48"/>
      <c r="F21" s="157" t="s">
        <v>243</v>
      </c>
      <c r="G21" s="155">
        <f>G19/G17-1</f>
        <v>-6.9156980489470166E-2</v>
      </c>
    </row>
    <row r="22" spans="5:9">
      <c r="F22" s="159" t="s">
        <v>244</v>
      </c>
      <c r="G22" s="156">
        <f>G17/G19</f>
        <v>1.0742949982327152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9">
    <outlinePr summaryBelow="0" summaryRight="0"/>
  </sheetPr>
  <dimension ref="A1:C28"/>
  <sheetViews>
    <sheetView workbookViewId="0"/>
  </sheetViews>
  <sheetFormatPr defaultColWidth="12.6640625" defaultRowHeight="15.75" customHeight="1"/>
  <sheetData>
    <row r="1" spans="1:3">
      <c r="A1" s="7" t="s">
        <v>0</v>
      </c>
      <c r="B1" s="7" t="s">
        <v>103</v>
      </c>
      <c r="C1" s="7" t="s">
        <v>104</v>
      </c>
    </row>
    <row r="2" spans="1:3">
      <c r="A2" s="7">
        <v>1995</v>
      </c>
      <c r="B2" s="7">
        <v>-14018</v>
      </c>
      <c r="C2" s="10">
        <f>B2/(overheidsuitgaven_reeel!B2*1000)</f>
        <v>-4.4910774356838497E-2</v>
      </c>
    </row>
    <row r="3" spans="1:3">
      <c r="A3" s="7">
        <v>1996</v>
      </c>
      <c r="B3" s="7">
        <v>-1354</v>
      </c>
      <c r="C3" s="10">
        <f>B3/(overheidsuitgaven_reeel!B3*1000)</f>
        <v>-4.1498099791590047E-3</v>
      </c>
    </row>
    <row r="4" spans="1:3">
      <c r="A4" s="7">
        <v>1997</v>
      </c>
      <c r="B4" s="7">
        <v>-9064</v>
      </c>
      <c r="C4" s="10">
        <f>B4/(overheidsuitgaven_reeel!B4*1000)</f>
        <v>-2.5959445526406232E-2</v>
      </c>
    </row>
    <row r="5" spans="1:3">
      <c r="A5" s="7">
        <v>1998</v>
      </c>
      <c r="B5" s="7">
        <v>-790</v>
      </c>
      <c r="C5" s="10">
        <f>B5/(overheidsuitgaven_reeel!B5*1000)</f>
        <v>-2.1165438713998661E-3</v>
      </c>
    </row>
    <row r="6" spans="1:3">
      <c r="A6" s="7">
        <v>1999</v>
      </c>
      <c r="B6" s="7">
        <v>-288</v>
      </c>
      <c r="C6" s="10">
        <f>B6/(overheidsuitgaven_reeel!B6*1000)</f>
        <v>-7.2542253343744491E-4</v>
      </c>
    </row>
    <row r="7" spans="1:3">
      <c r="A7" s="7">
        <v>2000</v>
      </c>
      <c r="B7" s="7">
        <v>-5003</v>
      </c>
      <c r="C7" s="10">
        <f>B7/(overheidsuitgaven_reeel!B7*1000)</f>
        <v>-1.1696084161309177E-2</v>
      </c>
    </row>
    <row r="8" spans="1:3">
      <c r="A8" s="7">
        <v>2001</v>
      </c>
      <c r="B8" s="7">
        <v>691</v>
      </c>
      <c r="C8" s="10">
        <f>B8/(overheidsuitgaven_reeel!B8*1000)</f>
        <v>1.5154838143696815E-3</v>
      </c>
    </row>
    <row r="9" spans="1:3">
      <c r="A9" s="7">
        <v>2002</v>
      </c>
      <c r="B9" s="7">
        <v>-3913</v>
      </c>
      <c r="C9" s="10">
        <f>B9/(overheidsuitgaven_reeel!B9*1000)</f>
        <v>-8.2510964912280698E-3</v>
      </c>
    </row>
    <row r="10" spans="1:3">
      <c r="A10" s="7">
        <v>2003</v>
      </c>
      <c r="B10" s="7">
        <v>-4278</v>
      </c>
      <c r="C10" s="10">
        <f>B10/(overheidsuitgaven_reeel!B10*1000)</f>
        <v>-8.8089943167778597E-3</v>
      </c>
    </row>
    <row r="11" spans="1:3">
      <c r="A11" s="7">
        <v>2004</v>
      </c>
      <c r="B11" s="7">
        <v>392</v>
      </c>
      <c r="C11" s="10">
        <f>B11/(overheidsuitgaven_reeel!B11*1000)</f>
        <v>7.8196688609615005E-4</v>
      </c>
    </row>
    <row r="12" spans="1:3">
      <c r="A12" s="7">
        <v>2005</v>
      </c>
      <c r="B12" s="7">
        <v>5348</v>
      </c>
      <c r="C12" s="10">
        <f>B12/(overheidsuitgaven_reeel!B12*1000)</f>
        <v>1.0244033252882812E-2</v>
      </c>
    </row>
    <row r="13" spans="1:3">
      <c r="A13" s="7">
        <v>2006</v>
      </c>
      <c r="B13" s="7">
        <v>-10311</v>
      </c>
      <c r="C13" s="10">
        <f>B13/(overheidsuitgaven_reeel!B13*1000)</f>
        <v>-1.8599155813701793E-2</v>
      </c>
    </row>
    <row r="14" spans="1:3">
      <c r="A14" s="7">
        <v>2007</v>
      </c>
      <c r="B14" s="7">
        <v>628</v>
      </c>
      <c r="C14" s="10">
        <f>B14/(overheidsuitgaven_reeel!B14*1000)</f>
        <v>1.0688815890252412E-3</v>
      </c>
    </row>
    <row r="15" spans="1:3">
      <c r="A15" s="7">
        <v>2008</v>
      </c>
      <c r="B15" s="7">
        <v>88622</v>
      </c>
      <c r="C15" s="10">
        <f>B15/(overheidsuitgaven_reeel!B15*1000)</f>
        <v>0.14427206277369886</v>
      </c>
    </row>
    <row r="16" spans="1:3">
      <c r="A16" s="7">
        <v>2009</v>
      </c>
      <c r="B16" s="7">
        <v>-31869</v>
      </c>
      <c r="C16" s="10">
        <f>B16/(overheidsuitgaven_reeel!B16*1000)</f>
        <v>-5.3767377513834529E-2</v>
      </c>
    </row>
    <row r="17" spans="1:3">
      <c r="A17" s="7">
        <v>2010</v>
      </c>
      <c r="B17" s="7">
        <v>-10131</v>
      </c>
      <c r="C17" s="10">
        <f>B17/(overheidsuitgaven_reeel!B17*1000)</f>
        <v>-1.6722512916164601E-2</v>
      </c>
    </row>
    <row r="18" spans="1:3">
      <c r="A18" s="7">
        <v>2011</v>
      </c>
      <c r="B18" s="7">
        <v>-6349</v>
      </c>
      <c r="C18" s="10">
        <f>B18/(overheidsuitgaven_reeel!B18*1000)</f>
        <v>-1.0294117647058823E-2</v>
      </c>
    </row>
    <row r="19" spans="1:3">
      <c r="A19" s="7">
        <v>2012</v>
      </c>
      <c r="B19" s="7">
        <v>5486</v>
      </c>
      <c r="C19" s="10">
        <f>B19/(overheidsuitgaven_reeel!B19*1000)</f>
        <v>8.8606777142487964E-3</v>
      </c>
    </row>
    <row r="20" spans="1:3">
      <c r="A20" s="7">
        <v>2013</v>
      </c>
      <c r="B20" s="7">
        <v>-4908</v>
      </c>
      <c r="C20" s="10">
        <f>B20/(overheidsuitgaven_reeel!B20*1000)</f>
        <v>-7.8332482124616951E-3</v>
      </c>
    </row>
    <row r="21" spans="1:3">
      <c r="A21" s="7">
        <v>2014</v>
      </c>
      <c r="B21" s="7">
        <v>-6332</v>
      </c>
      <c r="C21" s="10">
        <f>B21/(overheidsuitgaven_reeel!B21*1000)</f>
        <v>-9.9366015943757446E-3</v>
      </c>
    </row>
    <row r="22" spans="1:3">
      <c r="A22" s="7">
        <v>2015</v>
      </c>
      <c r="B22" s="7">
        <v>-23153</v>
      </c>
      <c r="C22" s="10">
        <f>B22/(overheidsuitgaven_reeel!B22*1000)</f>
        <v>-3.5338380292438722E-2</v>
      </c>
    </row>
    <row r="23" spans="1:3">
      <c r="A23" s="7">
        <v>2016</v>
      </c>
      <c r="B23" s="7">
        <v>-6713</v>
      </c>
      <c r="C23" s="10">
        <f>B23/(overheidsuitgaven_reeel!B23*1000)</f>
        <v>-9.975629328023301E-3</v>
      </c>
    </row>
    <row r="24" spans="1:3">
      <c r="A24" s="7">
        <v>2017</v>
      </c>
      <c r="B24" s="7">
        <v>-7971</v>
      </c>
      <c r="C24" s="10">
        <f>B24/(overheidsuitgaven_reeel!B24*1000)</f>
        <v>-1.1363441963903858E-2</v>
      </c>
    </row>
    <row r="25" spans="1:3">
      <c r="A25" s="7">
        <v>2018</v>
      </c>
      <c r="B25" s="7">
        <v>-2913</v>
      </c>
      <c r="C25" s="10">
        <f>B25/(overheidsuitgaven_reeel!B25*1000)</f>
        <v>-3.960409500632197E-3</v>
      </c>
    </row>
    <row r="26" spans="1:3">
      <c r="A26" s="7">
        <v>2019</v>
      </c>
      <c r="B26" s="7">
        <v>3554</v>
      </c>
      <c r="C26" s="10">
        <f>B26/(overheidsuitgaven_reeel!B26*1000)</f>
        <v>4.5991588482691683E-3</v>
      </c>
    </row>
    <row r="27" spans="1:3">
      <c r="A27" s="7">
        <v>2020</v>
      </c>
      <c r="B27" s="7">
        <v>11062</v>
      </c>
      <c r="C27" s="10">
        <f>B27/(overheidsuitgaven_reeel!B27*1000)</f>
        <v>1.4617694658598305E-2</v>
      </c>
    </row>
    <row r="28" spans="1:3">
      <c r="A28" s="7">
        <v>2021</v>
      </c>
      <c r="B28" s="7">
        <v>-6215</v>
      </c>
      <c r="C28" s="10">
        <f>B28/(overheidsuitgaven_reeel!B28*1000)</f>
        <v>-7.6383069895939329E-3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Advies 2023</vt:lpstr>
      <vt:lpstr>SBR Advies</vt:lpstr>
      <vt:lpstr>Backtest</vt:lpstr>
      <vt:lpstr>Anker-rente combinaties</vt:lpstr>
      <vt:lpstr>KeuzeOpgaveTool</vt:lpstr>
      <vt:lpstr>KeuzesTool</vt:lpstr>
      <vt:lpstr>Marktrente NL</vt:lpstr>
      <vt:lpstr>BBP_dv</vt:lpstr>
      <vt:lpstr>Correcties CBS</vt:lpstr>
      <vt:lpstr>CPB Data</vt:lpstr>
      <vt:lpstr>Inflatie</vt:lpstr>
      <vt:lpstr>AMECO Output Gap</vt:lpstr>
      <vt:lpstr>overheidsuitgaven_nominaal</vt:lpstr>
      <vt:lpstr>overheidsuitgaven_reeel</vt:lpstr>
      <vt:lpstr>som van overheids_uitgaven over</vt:lpstr>
      <vt:lpstr>subselectie core_overheidsuitga</vt:lpstr>
      <vt:lpstr>AMECO Policy</vt:lpstr>
      <vt:lpstr>AMECO Potential GDP</vt:lpstr>
      <vt:lpstr>Backtest-GDPpot_opt2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Sluijs, DED (Dick) van der</dc:creator>
  <cp:lastModifiedBy>Sluijs, DED (Dick) van der</cp:lastModifiedBy>
  <dcterms:created xsi:type="dcterms:W3CDTF">2023-08-16T15:57:18Z</dcterms:created>
  <dcterms:modified xsi:type="dcterms:W3CDTF">2023-11-17T09:19:28Z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3eac-4767-4d29-949e-d809b1160d11_Enabled">
    <vt:lpwstr>true</vt:lpwstr>
  </property>
  <property fmtid="{D5CDD505-2E9C-101B-9397-08002B2CF9AE}" pid="3" name="MSIP_Label_112e3eac-4767-4d29-949e-d809b1160d11_SetDate">
    <vt:lpwstr>2023-08-23T15:49:42Z</vt:lpwstr>
  </property>
  <property fmtid="{D5CDD505-2E9C-101B-9397-08002B2CF9AE}" pid="4" name="MSIP_Label_112e3eac-4767-4d29-949e-d809b1160d11_Method">
    <vt:lpwstr>Standard</vt:lpwstr>
  </property>
  <property fmtid="{D5CDD505-2E9C-101B-9397-08002B2CF9AE}" pid="5" name="MSIP_Label_112e3eac-4767-4d29-949e-d809b1160d11_Name">
    <vt:lpwstr>Rijksoverheid (SGC)</vt:lpwstr>
  </property>
  <property fmtid="{D5CDD505-2E9C-101B-9397-08002B2CF9AE}" pid="6" name="MSIP_Label_112e3eac-4767-4d29-949e-d809b1160d11_SiteId">
    <vt:lpwstr>84712536-f524-40a0-913b-5d25ba502732</vt:lpwstr>
  </property>
  <property fmtid="{D5CDD505-2E9C-101B-9397-08002B2CF9AE}" pid="7" name="MSIP_Label_112e3eac-4767-4d29-949e-d809b1160d11_ActionId">
    <vt:lpwstr>db8a11c0-d462-4647-8322-cabb9dc9c19f</vt:lpwstr>
  </property>
  <property fmtid="{D5CDD505-2E9C-101B-9397-08002B2CF9AE}" pid="8" name="MSIP_Label_112e3eac-4767-4d29-949e-d809b1160d11_ContentBits">
    <vt:lpwstr>0</vt:lpwstr>
  </property>
</Properties>
</file>